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0" activeTab="8"/>
  </bookViews>
  <sheets>
    <sheet name="Площади" sheetId="1" r:id="rId1"/>
    <sheet name="Окна-двери" sheetId="2" r:id="rId2"/>
    <sheet name="Огражд.конструкции" sheetId="3" r:id="rId3"/>
    <sheet name="U-Werte" sheetId="4" r:id="rId4"/>
    <sheet name="Теплопотери" sheetId="5" r:id="rId5"/>
    <sheet name="Вентиляция" sheetId="6" r:id="rId6"/>
    <sheet name="материалы" sheetId="7" r:id="rId7"/>
    <sheet name="Отделка" sheetId="8" r:id="rId8"/>
    <sheet name="Смета" sheetId="9" r:id="rId9"/>
  </sheets>
  <definedNames/>
  <calcPr fullCalcOnLoad="1"/>
</workbook>
</file>

<file path=xl/sharedStrings.xml><?xml version="1.0" encoding="utf-8"?>
<sst xmlns="http://schemas.openxmlformats.org/spreadsheetml/2006/main" count="1683" uniqueCount="641">
  <si>
    <t>Расчет площади помещений, отопительных поверхностей, объема пемещений</t>
  </si>
  <si>
    <t>Название помещения</t>
  </si>
  <si>
    <t>Площадь</t>
  </si>
  <si>
    <t>Высота</t>
  </si>
  <si>
    <t xml:space="preserve">Кубатура </t>
  </si>
  <si>
    <t>Теплопотребность</t>
  </si>
  <si>
    <t>Мощность Q</t>
  </si>
  <si>
    <t>Площ.отопления</t>
  </si>
  <si>
    <t xml:space="preserve">№ контура </t>
  </si>
  <si>
    <t>Темп.</t>
  </si>
  <si>
    <t>помещения</t>
  </si>
  <si>
    <t>средняя</t>
  </si>
  <si>
    <t>Q</t>
  </si>
  <si>
    <t>стены</t>
  </si>
  <si>
    <t>пол</t>
  </si>
  <si>
    <t>м2</t>
  </si>
  <si>
    <t>отопления</t>
  </si>
  <si>
    <t>приміщ.</t>
  </si>
  <si>
    <t>М2</t>
  </si>
  <si>
    <t xml:space="preserve">Вт </t>
  </si>
  <si>
    <t>Вт/м2</t>
  </si>
  <si>
    <t>стена</t>
  </si>
  <si>
    <t>1-й этаж</t>
  </si>
  <si>
    <t>Гостиная-столовая</t>
  </si>
  <si>
    <t>м3</t>
  </si>
  <si>
    <t>+22 С</t>
  </si>
  <si>
    <t>Кабинет</t>
  </si>
  <si>
    <t>Хол-Гардероб</t>
  </si>
  <si>
    <t>Кладовая</t>
  </si>
  <si>
    <t>Кухня</t>
  </si>
  <si>
    <t>Комната спорта</t>
  </si>
  <si>
    <t>Бассейн</t>
  </si>
  <si>
    <t>+25 С</t>
  </si>
  <si>
    <t>Сауна  (обогрев печкой)</t>
  </si>
  <si>
    <t xml:space="preserve"> </t>
  </si>
  <si>
    <t>С/у с душем при сауне</t>
  </si>
  <si>
    <t>+24 С</t>
  </si>
  <si>
    <t>Гостевой с/у</t>
  </si>
  <si>
    <t>Техпомещение</t>
  </si>
  <si>
    <t>+18 С</t>
  </si>
  <si>
    <t>Гараж</t>
  </si>
  <si>
    <t>Мастерская</t>
  </si>
  <si>
    <t>Терраса с мангалом</t>
  </si>
  <si>
    <t>Терраса</t>
  </si>
  <si>
    <t>Всего 1-й этаж</t>
  </si>
  <si>
    <t>в том числе:</t>
  </si>
  <si>
    <t>жилых помещений</t>
  </si>
  <si>
    <t>вспомогательных пом.</t>
  </si>
  <si>
    <t>холодных помещений</t>
  </si>
  <si>
    <t>Общая площадь этажа</t>
  </si>
  <si>
    <t xml:space="preserve">  </t>
  </si>
  <si>
    <t>2-й этаж</t>
  </si>
  <si>
    <t>Спальная родителей</t>
  </si>
  <si>
    <t>Детская 1</t>
  </si>
  <si>
    <t>Детская 2</t>
  </si>
  <si>
    <t>Гостевая спальная</t>
  </si>
  <si>
    <t>С/у с ванной</t>
  </si>
  <si>
    <t>Лестница и хол</t>
  </si>
  <si>
    <t>Гардеробная 1</t>
  </si>
  <si>
    <t>+20 С</t>
  </si>
  <si>
    <t>Гардеробная 2</t>
  </si>
  <si>
    <t>Прачечная</t>
  </si>
  <si>
    <t>+18 C</t>
  </si>
  <si>
    <t>Всего 2-й этаж</t>
  </si>
  <si>
    <t>СУММА:</t>
  </si>
  <si>
    <t>Вт</t>
  </si>
  <si>
    <t>кВт</t>
  </si>
  <si>
    <t>/стіна/</t>
  </si>
  <si>
    <t>/підлога/</t>
  </si>
  <si>
    <t>Площадь дома</t>
  </si>
  <si>
    <t>площадь дома без холодных помещений</t>
  </si>
  <si>
    <t>Укладка труб</t>
  </si>
  <si>
    <t>Стены</t>
  </si>
  <si>
    <t>шаг</t>
  </si>
  <si>
    <t>Пол</t>
  </si>
  <si>
    <t xml:space="preserve">Рехау 16 мм </t>
  </si>
  <si>
    <t>мм</t>
  </si>
  <si>
    <t>Гребенка контура пола</t>
  </si>
  <si>
    <t>Лето</t>
  </si>
  <si>
    <t>Зима</t>
  </si>
  <si>
    <t>Температура теплоносителя</t>
  </si>
  <si>
    <t>отключена</t>
  </si>
  <si>
    <t>26-28</t>
  </si>
  <si>
    <t>или 25</t>
  </si>
  <si>
    <t>Гребенка контура стен</t>
  </si>
  <si>
    <t>22-24</t>
  </si>
  <si>
    <t>28-36</t>
  </si>
  <si>
    <t>Спецификация окон, дверей и перемычек над проемами</t>
  </si>
  <si>
    <t>(ставятся заподлицо с внешней стороной несущей стены) обеспечить коэффициенты теплопроводности:</t>
  </si>
  <si>
    <t>R=</t>
  </si>
  <si>
    <t xml:space="preserve">м2С/вт </t>
  </si>
  <si>
    <t xml:space="preserve">U=  </t>
  </si>
  <si>
    <t>вт/m2С</t>
  </si>
  <si>
    <t>Ю</t>
  </si>
  <si>
    <t>З</t>
  </si>
  <si>
    <t>В</t>
  </si>
  <si>
    <t>С</t>
  </si>
  <si>
    <t>Тип</t>
  </si>
  <si>
    <t>ширина</t>
  </si>
  <si>
    <t>высота</t>
  </si>
  <si>
    <t xml:space="preserve">площадь </t>
  </si>
  <si>
    <t>кол.</t>
  </si>
  <si>
    <t>площадь общая</t>
  </si>
  <si>
    <t>см</t>
  </si>
  <si>
    <t>единицы</t>
  </si>
  <si>
    <t>штук</t>
  </si>
  <si>
    <t>Юг</t>
  </si>
  <si>
    <t>Запад</t>
  </si>
  <si>
    <t>Восток</t>
  </si>
  <si>
    <t>Север</t>
  </si>
  <si>
    <t>Описание</t>
  </si>
  <si>
    <t>м²</t>
  </si>
  <si>
    <t>двери наружные</t>
  </si>
  <si>
    <t>Подоконники</t>
  </si>
  <si>
    <t>Всего:</t>
  </si>
  <si>
    <t>м.п</t>
  </si>
  <si>
    <t>Внутренние двери</t>
  </si>
  <si>
    <t>А</t>
  </si>
  <si>
    <t>Н</t>
  </si>
  <si>
    <t>Кол-во</t>
  </si>
  <si>
    <t>шт.</t>
  </si>
  <si>
    <t>1 этаж</t>
  </si>
  <si>
    <t>В техпомещение</t>
  </si>
  <si>
    <t>гостиная (250)</t>
  </si>
  <si>
    <t>гостиная(250)</t>
  </si>
  <si>
    <t>В комнаты(120)</t>
  </si>
  <si>
    <t>в сауну(120)</t>
  </si>
  <si>
    <t>2 этаж</t>
  </si>
  <si>
    <t>В комнаты(250)</t>
  </si>
  <si>
    <t>В кладовую(250)</t>
  </si>
  <si>
    <t>окно</t>
  </si>
  <si>
    <t>Пристроенные</t>
  </si>
  <si>
    <t>ворота</t>
  </si>
  <si>
    <t>Расчет площади ограждающих конструкций</t>
  </si>
  <si>
    <t>Всього:</t>
  </si>
  <si>
    <t>Окна/двери [1]</t>
  </si>
  <si>
    <t xml:space="preserve">м² </t>
  </si>
  <si>
    <t>Стена над землей [2]</t>
  </si>
  <si>
    <t>Стена [2] с вычитанием окон</t>
  </si>
  <si>
    <t>Стена  в земле [3]</t>
  </si>
  <si>
    <t xml:space="preserve">Фунд.подушка [4] </t>
  </si>
  <si>
    <t xml:space="preserve">Крыша [5] </t>
  </si>
  <si>
    <t>Внутренняя кубатура здания (для вентиляции)</t>
  </si>
  <si>
    <t>Расчет теплопроводности разных видов ограждающих конструкций</t>
  </si>
  <si>
    <t>Окна/двери</t>
  </si>
  <si>
    <t>R</t>
  </si>
  <si>
    <t>U  вт/m2С</t>
  </si>
  <si>
    <t>Стена 250 Кирпич + 200 утеплитель</t>
  </si>
  <si>
    <t>Материал</t>
  </si>
  <si>
    <t>штукатурка</t>
  </si>
  <si>
    <t>вспененное стекло</t>
  </si>
  <si>
    <t>кирпич</t>
  </si>
  <si>
    <t>глина</t>
  </si>
  <si>
    <t xml:space="preserve">ширина </t>
  </si>
  <si>
    <t>Ширина [cm]</t>
  </si>
  <si>
    <t>Лямбда [Вт/м C']</t>
  </si>
  <si>
    <t>R зовн.</t>
  </si>
  <si>
    <t>R m2С/вт</t>
  </si>
  <si>
    <t>R вн.</t>
  </si>
  <si>
    <t>R общее</t>
  </si>
  <si>
    <r>
      <t xml:space="preserve">U  </t>
    </r>
    <r>
      <rPr>
        <sz val="12"/>
        <rFont val="Times New Roman"/>
        <family val="1"/>
      </rPr>
      <t>вт/m2С</t>
    </r>
  </si>
  <si>
    <t>Стена 250 (под землей) ж/б + 200 утеплитель</t>
  </si>
  <si>
    <t>гидроизоляция</t>
  </si>
  <si>
    <t>бетон</t>
  </si>
  <si>
    <t>ж/б подушка 300 + 100 утеплитель</t>
  </si>
  <si>
    <t>бетон.подгот.</t>
  </si>
  <si>
    <t>Гидроизоляция</t>
  </si>
  <si>
    <t xml:space="preserve">бетон </t>
  </si>
  <si>
    <t>Крыша 250 утеплитель</t>
  </si>
  <si>
    <t>Стропила</t>
  </si>
  <si>
    <t>Черепица</t>
  </si>
  <si>
    <t>экстр.пенопол.</t>
  </si>
  <si>
    <t>ГК</t>
  </si>
  <si>
    <t>Ориентировочный расчет теплопотерь через ограждающие конструкции и вентиляцию:</t>
  </si>
  <si>
    <t>Часть здания</t>
  </si>
  <si>
    <t>U-Wert</t>
  </si>
  <si>
    <t>Температура</t>
  </si>
  <si>
    <t>Теплопотери</t>
  </si>
  <si>
    <t>внутри</t>
  </si>
  <si>
    <t>снаружи</t>
  </si>
  <si>
    <t>Q ват</t>
  </si>
  <si>
    <t>Окна 1</t>
  </si>
  <si>
    <t>Стена 2 + 200</t>
  </si>
  <si>
    <t>Стена в земле 3 + 200</t>
  </si>
  <si>
    <t>Ж/б подушка 4 + 100</t>
  </si>
  <si>
    <t>Крыша 5  +250</t>
  </si>
  <si>
    <t>Теплопотери через ограждающие конструкции</t>
  </si>
  <si>
    <t>Расчет теплопотерь на вентиляцию (с учетом работы грунтового теплообменника и рекуператора):</t>
  </si>
  <si>
    <t>Расчетный объем здания</t>
  </si>
  <si>
    <t>[м³]</t>
  </si>
  <si>
    <t xml:space="preserve">Кратность воздухообмена „n“ </t>
  </si>
  <si>
    <t>(0,5 ж/п, 5 с/у)</t>
  </si>
  <si>
    <t>Расчетная температура в помещениях</t>
  </si>
  <si>
    <t xml:space="preserve">Расчетная температура наружная (мах. -24) </t>
  </si>
  <si>
    <t>(с учетом работы грунтового теплообменника и рекуператора)</t>
  </si>
  <si>
    <t>Теплопотери на вентиляцию</t>
  </si>
  <si>
    <t>Общие теплопотери (на вентиляцию и через огр.конструкции):</t>
  </si>
  <si>
    <t xml:space="preserve">кВт </t>
  </si>
  <si>
    <t>Подогрев подаваемого воздуха в жилые помещения (с 12 после грунтового теплообменника и рекуператора) не предусмотрено</t>
  </si>
  <si>
    <t>расчетный объем вентиляционного воздуха в час</t>
  </si>
  <si>
    <t>[м³/ч]</t>
  </si>
  <si>
    <t>Подогрев воздуха подаваемого в жилые помещения от 12 до 20 градусов — с помощью системы “теплая стена”</t>
  </si>
  <si>
    <t xml:space="preserve"> Подогрев подаваемого воздуха в бассейн с 12 до 24 градусов — выполняется с помощью водяного калорифера от водяного аккумулятора тепла</t>
  </si>
  <si>
    <t>Расчетный объем вентиляционного воздуха в час для бассейна</t>
  </si>
  <si>
    <t>Подогрев воздуха в бассейне от 24 до 26 градусов — с помощью системы “теплая стена”</t>
  </si>
  <si>
    <t>Температура в жилых помещениях</t>
  </si>
  <si>
    <t>Темп. Подаваемого воздуха в жилые помещения</t>
  </si>
  <si>
    <t>Темп. в помещении бассейна</t>
  </si>
  <si>
    <t>Темп. подаваемого воздуха в бассейн</t>
  </si>
  <si>
    <t>Мощность системы отопления теплыми стенами  полом</t>
  </si>
  <si>
    <t>Ориентировочный расчет необходимости в летнем охлаждении дома:</t>
  </si>
  <si>
    <t>Теплопритоки через ограждающие конструкции</t>
  </si>
  <si>
    <t xml:space="preserve">Расчетная температура наружная (мах. +40) </t>
  </si>
  <si>
    <t>(учитывая работу рекуператора 80%)</t>
  </si>
  <si>
    <t>(0,5 – жилые помещения, 5 — санузлы)</t>
  </si>
  <si>
    <t>Вентиляция</t>
  </si>
  <si>
    <t>ОБЩИЕ ДАННЫЕ</t>
  </si>
  <si>
    <t>Расход воздуха = L</t>
  </si>
  <si>
    <t>Скорость воздуха в воздуховоде = g</t>
  </si>
  <si>
    <t>Ширина и высота сечения воздуховода = а,b</t>
  </si>
  <si>
    <t>Кратность обмена воздуха в жилых помещениях принимается равной 0,5-0,8</t>
  </si>
  <si>
    <t>Кратность обмена воздуха в с/у и бассейне принимается равной 6-8</t>
  </si>
  <si>
    <t>L=a*b*3600*g</t>
  </si>
  <si>
    <t>Электронное управление переключения из прямой подачи воздуха (при темп. нар. возд. от +9 до +26) на подачу через грунтовый теплообменник НЕ ПРЕДУСМОТРЕНО</t>
  </si>
  <si>
    <t>сек.</t>
  </si>
  <si>
    <t>Приток:</t>
  </si>
  <si>
    <t>мах.</t>
  </si>
  <si>
    <t>м3/час</t>
  </si>
  <si>
    <t>Вытяжка:</t>
  </si>
  <si>
    <t>Требуемая скорость в воздуховоде:</t>
  </si>
  <si>
    <t>м/с</t>
  </si>
  <si>
    <t>На выходе предусмотреть обратный клапан!</t>
  </si>
  <si>
    <t>Заборный воздуховод (для авадукта):</t>
  </si>
  <si>
    <t>Диаметр выхода:</t>
  </si>
  <si>
    <t>Скорость:</t>
  </si>
  <si>
    <t>Площадь сечения воздуховода:</t>
  </si>
  <si>
    <t>m²</t>
  </si>
  <si>
    <t>Сечение:</t>
  </si>
  <si>
    <t>м</t>
  </si>
  <si>
    <t>Диаметр воздуховода:</t>
  </si>
  <si>
    <t>Сечение заб. Шахты:</t>
  </si>
  <si>
    <t>под землей: 1 переход на Д 400 (авадукт)  Из авадукта вход в дом  Д 400</t>
  </si>
  <si>
    <t>скорость на входе в решетку</t>
  </si>
  <si>
    <t>Коефициент зарешочивания</t>
  </si>
  <si>
    <t>Жалюзийная решетка с фильтром</t>
  </si>
  <si>
    <t>Сечение решетки</t>
  </si>
  <si>
    <t>Решетка входа в дом:</t>
  </si>
  <si>
    <t>Хол + Гостиная + кухня</t>
  </si>
  <si>
    <t>(с/у, прихожая)</t>
  </si>
  <si>
    <t>кубатура</t>
  </si>
  <si>
    <t>приток</t>
  </si>
  <si>
    <t>Гостиная</t>
  </si>
  <si>
    <t>Вытяжка из:</t>
  </si>
  <si>
    <t>холла, кладовой</t>
  </si>
  <si>
    <t>1 шт.</t>
  </si>
  <si>
    <t>анимостат из потолка</t>
  </si>
  <si>
    <t>Холл</t>
  </si>
  <si>
    <t>кухни (решетка с фильтром)</t>
  </si>
  <si>
    <t>2 шт.</t>
  </si>
  <si>
    <t>Решетка с фильтром из стены</t>
  </si>
  <si>
    <t>лестницы</t>
  </si>
  <si>
    <t>с/у</t>
  </si>
  <si>
    <t>кабинет</t>
  </si>
  <si>
    <t>лестница</t>
  </si>
  <si>
    <t>Скорость на выходе</t>
  </si>
  <si>
    <t>Скорость на входе</t>
  </si>
  <si>
    <t>Кол. решеток:</t>
  </si>
  <si>
    <t>из потолка</t>
  </si>
  <si>
    <t xml:space="preserve"> 1 холл, 2 кухня, 1лестница</t>
  </si>
  <si>
    <t>Через каждую решетку:</t>
  </si>
  <si>
    <t>Скорость в воздуховоде:</t>
  </si>
  <si>
    <t>Скорость на выходе из стены:</t>
  </si>
  <si>
    <t>Скорость на входе:</t>
  </si>
  <si>
    <t>Коефициент зарешечивания:</t>
  </si>
  <si>
    <r>
      <t xml:space="preserve">Двухрядная регулируемая решетка </t>
    </r>
    <r>
      <rPr>
        <b/>
        <sz val="13"/>
        <color indexed="12"/>
        <rFont val="Times New Roman"/>
        <family val="1"/>
      </rPr>
      <t>№ 1, 2, 3</t>
    </r>
    <r>
      <rPr>
        <sz val="13"/>
        <color indexed="12"/>
        <rFont val="Times New Roman"/>
        <family val="1"/>
      </rPr>
      <t>, алюминий</t>
    </r>
  </si>
  <si>
    <t>2 Анимостата + 2 пластиковые решетки с фильтром для кухни</t>
  </si>
  <si>
    <t>Площадь решетки:</t>
  </si>
  <si>
    <r>
      <t xml:space="preserve">Анимостат </t>
    </r>
    <r>
      <rPr>
        <b/>
        <sz val="13"/>
        <color indexed="25"/>
        <rFont val="Times New Roman"/>
        <family val="1"/>
      </rPr>
      <t>№ 1,15</t>
    </r>
  </si>
  <si>
    <t>Площадь анимостата:</t>
  </si>
  <si>
    <t>глубина</t>
  </si>
  <si>
    <r>
      <t xml:space="preserve">Диаметр анимостата </t>
    </r>
    <r>
      <rPr>
        <b/>
        <sz val="13"/>
        <rFont val="Times New Roman"/>
        <family val="1"/>
      </rPr>
      <t>№ 1,15</t>
    </r>
    <r>
      <rPr>
        <sz val="13"/>
        <rFont val="Times New Roman"/>
        <family val="1"/>
      </rPr>
      <t>:</t>
    </r>
  </si>
  <si>
    <t xml:space="preserve">м </t>
  </si>
  <si>
    <t>Размер решетки № 1, 2, 3:</t>
  </si>
  <si>
    <r>
      <t xml:space="preserve">Решетка </t>
    </r>
    <r>
      <rPr>
        <b/>
        <sz val="13"/>
        <color indexed="25"/>
        <rFont val="Times New Roman"/>
        <family val="1"/>
      </rPr>
      <t>№ 2, 3</t>
    </r>
  </si>
  <si>
    <t>Размер решетки для кухни с фильтром № 2, 3:</t>
  </si>
  <si>
    <t>Воздуховод, оцинкованный, толщина стенки 0,4-0,55мм</t>
  </si>
  <si>
    <t>Площадь воздуховода:</t>
  </si>
  <si>
    <t>К решетке № 3</t>
  </si>
  <si>
    <t>Сечение воздуховода:</t>
  </si>
  <si>
    <t>Скорость на выходе из потолка:</t>
  </si>
  <si>
    <t>Длинна воздуховода:</t>
  </si>
  <si>
    <t>К решетке № 2</t>
  </si>
  <si>
    <t>Размер решетки № 4:</t>
  </si>
  <si>
    <t>К анимостату № 1 и 4</t>
  </si>
  <si>
    <t>Двухрядная регулируемая решетка, алюминий</t>
  </si>
  <si>
    <t>Детские + гостевая</t>
  </si>
  <si>
    <t>Детская</t>
  </si>
  <si>
    <t>Гостевая</t>
  </si>
  <si>
    <t>Ванная</t>
  </si>
  <si>
    <t>из с стены возле пола</t>
  </si>
  <si>
    <t>высота над полом 600 мм</t>
  </si>
  <si>
    <r>
      <t xml:space="preserve">Анимостат </t>
    </r>
    <r>
      <rPr>
        <b/>
        <sz val="13"/>
        <color indexed="25"/>
        <rFont val="Times New Roman"/>
        <family val="1"/>
      </rPr>
      <t>№ 14</t>
    </r>
  </si>
  <si>
    <t>Размер решетки № 5, 6, 7:</t>
  </si>
  <si>
    <r>
      <t xml:space="preserve">Диаметр анимостата </t>
    </r>
    <r>
      <rPr>
        <b/>
        <sz val="13"/>
        <rFont val="Times New Roman"/>
        <family val="1"/>
      </rPr>
      <t>№ 14</t>
    </r>
    <r>
      <rPr>
        <sz val="13"/>
        <rFont val="Times New Roman"/>
        <family val="1"/>
      </rPr>
      <t>:</t>
    </r>
  </si>
  <si>
    <t>К решетке № 4, 5, 6, 7</t>
  </si>
  <si>
    <t>к каждой решетке от последнего разветвления</t>
  </si>
  <si>
    <t>К решетке № 4 и 7, 5 и 6</t>
  </si>
  <si>
    <t>воздуховод к бассейну, ванной и коридору-леснице:</t>
  </si>
  <si>
    <t>к двум решеткам от последнего разветвления</t>
  </si>
  <si>
    <t>К решетке № 3 и 4 и 5 и 6 и 7</t>
  </si>
  <si>
    <t>Стояк-воздуховод центральный (в который сходится ВСЯ вытяжка по дому):</t>
  </si>
  <si>
    <t xml:space="preserve">К решетке № 1  </t>
  </si>
  <si>
    <t>СТОЯК</t>
  </si>
  <si>
    <t>Техпомещение, санузел</t>
  </si>
  <si>
    <t>из стены</t>
  </si>
  <si>
    <t>1 техпомещение, 1 санузел</t>
  </si>
  <si>
    <r>
      <t xml:space="preserve">Двухрядная регулируемая решетка </t>
    </r>
    <r>
      <rPr>
        <b/>
        <sz val="13"/>
        <color indexed="12"/>
        <rFont val="Times New Roman"/>
        <family val="1"/>
      </rPr>
      <t>№ 16</t>
    </r>
    <r>
      <rPr>
        <sz val="13"/>
        <color indexed="12"/>
        <rFont val="Times New Roman"/>
        <family val="1"/>
      </rPr>
      <t>, алюминий</t>
    </r>
  </si>
  <si>
    <r>
      <t xml:space="preserve">Анимостат </t>
    </r>
    <r>
      <rPr>
        <b/>
        <sz val="13"/>
        <color indexed="25"/>
        <rFont val="Times New Roman"/>
        <family val="1"/>
      </rPr>
      <t>№ 6, 5</t>
    </r>
  </si>
  <si>
    <r>
      <t xml:space="preserve">Диаметр анимостата </t>
    </r>
    <r>
      <rPr>
        <b/>
        <sz val="13"/>
        <rFont val="Times New Roman"/>
        <family val="1"/>
      </rPr>
      <t>№ 6, 5</t>
    </r>
    <r>
      <rPr>
        <sz val="13"/>
        <rFont val="Times New Roman"/>
        <family val="1"/>
      </rPr>
      <t>:</t>
    </r>
  </si>
  <si>
    <t>Размер решетки № 16:</t>
  </si>
  <si>
    <t>К решетке № 16 и 8</t>
  </si>
  <si>
    <r>
      <t xml:space="preserve">Двухрядная регулируемая решетка </t>
    </r>
    <r>
      <rPr>
        <b/>
        <sz val="13"/>
        <color indexed="12"/>
        <rFont val="Times New Roman"/>
        <family val="1"/>
      </rPr>
      <t>№ 8</t>
    </r>
    <r>
      <rPr>
        <sz val="13"/>
        <color indexed="12"/>
        <rFont val="Times New Roman"/>
        <family val="1"/>
      </rPr>
      <t>, алюминий</t>
    </r>
  </si>
  <si>
    <t>Размер решетки № 8:</t>
  </si>
  <si>
    <t>К решетке № 8</t>
  </si>
  <si>
    <t>Постирочная</t>
  </si>
  <si>
    <r>
      <t xml:space="preserve">Двухрядная регулируемая решетка </t>
    </r>
    <r>
      <rPr>
        <b/>
        <sz val="13"/>
        <color indexed="12"/>
        <rFont val="Times New Roman"/>
        <family val="1"/>
      </rPr>
      <t>№ 17</t>
    </r>
    <r>
      <rPr>
        <sz val="13"/>
        <color indexed="12"/>
        <rFont val="Times New Roman"/>
        <family val="1"/>
      </rPr>
      <t>, алюминий</t>
    </r>
  </si>
  <si>
    <r>
      <t xml:space="preserve">Анимостат </t>
    </r>
    <r>
      <rPr>
        <b/>
        <sz val="13"/>
        <color indexed="25"/>
        <rFont val="Times New Roman"/>
        <family val="1"/>
      </rPr>
      <t>№ 13</t>
    </r>
  </si>
  <si>
    <r>
      <t xml:space="preserve">Диаметр анимостата </t>
    </r>
    <r>
      <rPr>
        <b/>
        <sz val="13"/>
        <rFont val="Times New Roman"/>
        <family val="1"/>
      </rPr>
      <t>№ 13</t>
    </r>
    <r>
      <rPr>
        <sz val="13"/>
        <rFont val="Times New Roman"/>
        <family val="1"/>
      </rPr>
      <t>:</t>
    </r>
  </si>
  <si>
    <t>Размер решетки № 17:</t>
  </si>
  <si>
    <t>К решетке № 17</t>
  </si>
  <si>
    <t>вертикальная часть</t>
  </si>
  <si>
    <t>от общего стояка</t>
  </si>
  <si>
    <t>Площадь стояка:</t>
  </si>
  <si>
    <t>К решетке № 17, 18 и 8</t>
  </si>
  <si>
    <t>Спальня родителей</t>
  </si>
  <si>
    <t>Спальня, гардероб</t>
  </si>
  <si>
    <t>гардеробные</t>
  </si>
  <si>
    <t>в гардеробной при спальне</t>
  </si>
  <si>
    <r>
      <t xml:space="preserve">Двухрядная регулируемая решетка </t>
    </r>
    <r>
      <rPr>
        <b/>
        <sz val="13"/>
        <color indexed="12"/>
        <rFont val="Times New Roman"/>
        <family val="1"/>
      </rPr>
      <t>№ 18</t>
    </r>
    <r>
      <rPr>
        <sz val="13"/>
        <color indexed="12"/>
        <rFont val="Times New Roman"/>
        <family val="1"/>
      </rPr>
      <t>, алюминий</t>
    </r>
  </si>
  <si>
    <r>
      <t xml:space="preserve">Анимостат </t>
    </r>
    <r>
      <rPr>
        <b/>
        <sz val="13"/>
        <color indexed="25"/>
        <rFont val="Times New Roman"/>
        <family val="1"/>
      </rPr>
      <t>№ 4</t>
    </r>
  </si>
  <si>
    <r>
      <t xml:space="preserve">Диаметр анимостата </t>
    </r>
    <r>
      <rPr>
        <b/>
        <sz val="13"/>
        <rFont val="Times New Roman"/>
        <family val="1"/>
      </rPr>
      <t>№ 4</t>
    </r>
    <r>
      <rPr>
        <sz val="13"/>
        <rFont val="Times New Roman"/>
        <family val="1"/>
      </rPr>
      <t>:</t>
    </r>
  </si>
  <si>
    <t>Размер решетки № 18:</t>
  </si>
  <si>
    <t>К решетке № 18</t>
  </si>
  <si>
    <t>из пола и стены</t>
  </si>
  <si>
    <t>Скорость на выходе из пола:</t>
  </si>
  <si>
    <t>Площадь решетки 7,8,9,10,11,12 :</t>
  </si>
  <si>
    <t>Размер решетки № 8,9,10,11,12,13,14:</t>
  </si>
  <si>
    <t>Однорядная щелевая половая нерегулируемая решетка</t>
  </si>
  <si>
    <t>К решетке № 10, 15, 9</t>
  </si>
  <si>
    <t>К решетке № 9,12</t>
  </si>
  <si>
    <t>К решетке № 14</t>
  </si>
  <si>
    <t>К решетке № 8,11</t>
  </si>
  <si>
    <t>К решетке № 13</t>
  </si>
  <si>
    <t>К решетке № 12</t>
  </si>
  <si>
    <t>К решетке № 7</t>
  </si>
  <si>
    <t xml:space="preserve">К решетке № 11  </t>
  </si>
  <si>
    <t>К решетке № 10</t>
  </si>
  <si>
    <t xml:space="preserve">К развлетвл.между реш.№11 №10  </t>
  </si>
  <si>
    <t>К решеткам № 7,8,9,10,11,12,14</t>
  </si>
  <si>
    <t xml:space="preserve">К развлетвл. до реш.№9 </t>
  </si>
  <si>
    <t>Воздуховод, нержавейка, толщина стенки 0,4-0,55мм</t>
  </si>
  <si>
    <t>СПЕЦИФИКАЦИЯ ЭЛЕМЕНТОВ  АВАДУКТ-ТЕРМО</t>
  </si>
  <si>
    <t>угол</t>
  </si>
  <si>
    <t>евро</t>
  </si>
  <si>
    <t xml:space="preserve">Art.-Nr. </t>
  </si>
  <si>
    <t>DN/OD</t>
  </si>
  <si>
    <t>длинна</t>
  </si>
  <si>
    <t>Цена</t>
  </si>
  <si>
    <t xml:space="preserve">Цена </t>
  </si>
  <si>
    <t>всего</t>
  </si>
  <si>
    <t>AWADUKT Thermo Gussabdeckung</t>
  </si>
  <si>
    <t>175584-001</t>
  </si>
  <si>
    <t>400/40</t>
  </si>
  <si>
    <t>AWADUKT Thermo-Kondensatsammelschacht</t>
  </si>
  <si>
    <t>227785-003</t>
  </si>
  <si>
    <t>AWADUKT Thermo Ringraumdichtung DN 200-500*</t>
  </si>
  <si>
    <t>HAUSEINFÜHRUNGEN</t>
  </si>
  <si>
    <t>350371-001</t>
  </si>
  <si>
    <t>400/500</t>
  </si>
  <si>
    <t>AWADUKT Thermo Mauerhülse*</t>
  </si>
  <si>
    <t>Zur Durchführung von Rohren durch Wände, speziell für den Einsatz</t>
  </si>
  <si>
    <t>bei drückendem Wasser,</t>
  </si>
  <si>
    <t>500/400</t>
  </si>
  <si>
    <t>350362-001</t>
  </si>
  <si>
    <t>AWADUKT Thermo-Rohr</t>
  </si>
  <si>
    <t>170851-002</t>
  </si>
  <si>
    <t>AWADUKT PP-Bogen</t>
  </si>
  <si>
    <t>239362-003</t>
  </si>
  <si>
    <t>237313-003</t>
  </si>
  <si>
    <t>AWADUKT PP-Einfachabzweig 45°</t>
  </si>
  <si>
    <t>239382-005</t>
  </si>
  <si>
    <t>400/200</t>
  </si>
  <si>
    <t>AWADUKT Thermo Außenluft-Ansaugturm</t>
  </si>
  <si>
    <t>170428-003*</t>
  </si>
  <si>
    <t>AWADUKT Thermo Filter</t>
  </si>
  <si>
    <t>170538-002*</t>
  </si>
  <si>
    <t>G4</t>
  </si>
  <si>
    <t>170548-002*</t>
  </si>
  <si>
    <t>F6/G2</t>
  </si>
  <si>
    <t>Gleitmittel für Steckverbindungen</t>
  </si>
  <si>
    <t>172960-003</t>
  </si>
  <si>
    <t>1000 g</t>
  </si>
  <si>
    <t>Всего сумма</t>
  </si>
  <si>
    <t>грн</t>
  </si>
  <si>
    <t>Расчет кол-ва материалов</t>
  </si>
  <si>
    <t>Кол-во утеплителя:</t>
  </si>
  <si>
    <t xml:space="preserve">Вспененое стекло 20см </t>
  </si>
  <si>
    <t>Вспененое стекло 10см</t>
  </si>
  <si>
    <t>Экструд.пенополистирол20</t>
  </si>
  <si>
    <t>Экструд.пенополистирол 5</t>
  </si>
  <si>
    <t>Экструд пенополистирол 5(утепл.бассейна)</t>
  </si>
  <si>
    <t>Экструд пенополистирол 2(полы)</t>
  </si>
  <si>
    <t>Фольгированый вспен.полиэтилен</t>
  </si>
  <si>
    <t>Полнотелый кирпич м125:</t>
  </si>
  <si>
    <t>Внеш.стены(250)</t>
  </si>
  <si>
    <t>Стены гараж(250)</t>
  </si>
  <si>
    <t>Внутр.стены(250)</t>
  </si>
  <si>
    <t>Внутр.перегородки(120)</t>
  </si>
  <si>
    <t>Блоки POROTERM</t>
  </si>
  <si>
    <t>Керамические блоки Poroterm(250)</t>
  </si>
  <si>
    <t>Перемычки</t>
  </si>
  <si>
    <t>Бетонн.перемычки 2ПБ-19-3П</t>
  </si>
  <si>
    <t>шт</t>
  </si>
  <si>
    <t>Бетонн.перемычки 2ПБ-17-2П</t>
  </si>
  <si>
    <t>Бетонн.перемычки 2ПБ-13-1П</t>
  </si>
  <si>
    <t>Металл.перемычка Швелер№14</t>
  </si>
  <si>
    <t>м.п.</t>
  </si>
  <si>
    <t>Фасадные работы</t>
  </si>
  <si>
    <t>дерев.вагонка</t>
  </si>
  <si>
    <t>песчаник</t>
  </si>
  <si>
    <t>Отмостка</t>
  </si>
  <si>
    <t>ВЕДОМОСТЬ ОТДЕЛКИ ПОМЕЩЕНИЙ</t>
  </si>
  <si>
    <t>двери,окна</t>
  </si>
  <si>
    <t>откосы</t>
  </si>
  <si>
    <t>потолок</t>
  </si>
  <si>
    <t>Вид отделки</t>
  </si>
  <si>
    <t>плинтус</t>
  </si>
  <si>
    <t>материал</t>
  </si>
  <si>
    <t>мп</t>
  </si>
  <si>
    <t>ПЕРВЫЙ ЭТАЖ</t>
  </si>
  <si>
    <t>ГКЛ, покраска</t>
  </si>
  <si>
    <t xml:space="preserve"> Тип 1(паркет)</t>
  </si>
  <si>
    <t>Глин.штукатурка, бумаж.обои, покраска</t>
  </si>
  <si>
    <t>деревянный</t>
  </si>
  <si>
    <t xml:space="preserve"> Тип 3(линолеум)</t>
  </si>
  <si>
    <t>Холл-Гардероб</t>
  </si>
  <si>
    <t xml:space="preserve"> Тип 2(плитка)</t>
  </si>
  <si>
    <t xml:space="preserve"> Рабочая поверхность h1,4м: керам.плитка</t>
  </si>
  <si>
    <t>-</t>
  </si>
  <si>
    <t>Спорт.комната</t>
  </si>
  <si>
    <t xml:space="preserve">Бассейн </t>
  </si>
  <si>
    <t xml:space="preserve"> Тип 5(плитка)</t>
  </si>
  <si>
    <t>Штукатурка, покраска</t>
  </si>
  <si>
    <t>На высоту 1,8 м:штукатурка,керам.плитка</t>
  </si>
  <si>
    <t>Чаша бассейна: керам.мозайка</t>
  </si>
  <si>
    <t xml:space="preserve">Сауна  </t>
  </si>
  <si>
    <t>фольг.утеплитель</t>
  </si>
  <si>
    <t>Фольгиров. Утеплитель, вагонка липа</t>
  </si>
  <si>
    <t>вагонка  липа</t>
  </si>
  <si>
    <t>Санузел с душем</t>
  </si>
  <si>
    <t>На высоту 2,2 м:штукатурка,керам.плитка</t>
  </si>
  <si>
    <t xml:space="preserve">Санузел </t>
  </si>
  <si>
    <t>Штукатурка, керам.плитка</t>
  </si>
  <si>
    <t>Затирка, покраска</t>
  </si>
  <si>
    <t xml:space="preserve"> Тип 4(плитка)</t>
  </si>
  <si>
    <t>керамичный</t>
  </si>
  <si>
    <t>Доска,лак</t>
  </si>
  <si>
    <t>Тип 10(песчаник)</t>
  </si>
  <si>
    <t>ВТОРОЙ ЭТАЖ</t>
  </si>
  <si>
    <t>Спальня Родителей</t>
  </si>
  <si>
    <t>Тип 7(линолеум)</t>
  </si>
  <si>
    <t>Глин.штукатурка, бумажн.обои,покраска</t>
  </si>
  <si>
    <t>Спальня гостевая</t>
  </si>
  <si>
    <t>Санузел с ванною</t>
  </si>
  <si>
    <t>Тип 6(плитка)</t>
  </si>
  <si>
    <t>На высоту 2,2м:штукатурка, керам.плитка</t>
  </si>
  <si>
    <t>Лестница и холл</t>
  </si>
  <si>
    <t>Тип 8,9(паркет)</t>
  </si>
  <si>
    <t>Тип 5(плитка)</t>
  </si>
  <si>
    <t>На высоту 1,0 м:штукатурка,керам.плитка</t>
  </si>
  <si>
    <t>ВСЬОГО</t>
  </si>
  <si>
    <t>Фольг.утепл.,вагонка</t>
  </si>
  <si>
    <t>Тип 10 (песчаник)</t>
  </si>
  <si>
    <t>Смета на строительство индивидуального жилого дома</t>
  </si>
  <si>
    <t xml:space="preserve">/Работы и объемы согласно проектной документации/ </t>
  </si>
  <si>
    <t>Расчет стоимости строительства:</t>
  </si>
  <si>
    <t>Объем</t>
  </si>
  <si>
    <t>Геодезические работы</t>
  </si>
  <si>
    <t>Перенесение с плана, точек, осей на местность</t>
  </si>
  <si>
    <t>точек</t>
  </si>
  <si>
    <t>Нивелирование горизонтальных поверхностей</t>
  </si>
  <si>
    <t>уровня</t>
  </si>
  <si>
    <t>Нивелирование стен</t>
  </si>
  <si>
    <t>всего геодезических  работ</t>
  </si>
  <si>
    <t>Земляные работы</t>
  </si>
  <si>
    <t>Котлован (работа экскаватора)</t>
  </si>
  <si>
    <t xml:space="preserve">Планирование дна котлована </t>
  </si>
  <si>
    <t>Обратная засыпка котлована и траншей (вручную), утрамбовка</t>
  </si>
  <si>
    <t>Песчаная подушка под фундамент дома</t>
  </si>
  <si>
    <t>Песчаная подушка под фундамент гаража</t>
  </si>
  <si>
    <t>Бет. Подготовка под фундамент дома 100мм (В12)</t>
  </si>
  <si>
    <t>Выравнивающая ц.п.стяжка 20мм</t>
  </si>
  <si>
    <t>Бет. Подготовка под фундамент гаража 100мм (В12)</t>
  </si>
  <si>
    <t>Инженерные сети</t>
  </si>
  <si>
    <t>Грунтовой теплообменник воздуха</t>
  </si>
  <si>
    <t>Биол. Очистная канализационная система (рассчитана на 6 человек)</t>
  </si>
  <si>
    <t>Дренажный колодец д1,5м:глубина =3600мм</t>
  </si>
  <si>
    <t>Гравий для дренажного колодца</t>
  </si>
  <si>
    <t>Водопроводный колодец д1,5м: глубина=2500мм</t>
  </si>
  <si>
    <t>Ревизионный колодец TEGRA 315 c пластиковым люком</t>
  </si>
  <si>
    <t>Канализационные люки чугун</t>
  </si>
  <si>
    <t>Канализационные, дренажные и водопроводные труби</t>
  </si>
  <si>
    <t>Раскопка траншей для канализационных, водопроводных труб и электро кабеля</t>
  </si>
  <si>
    <t>всего земляных работ</t>
  </si>
  <si>
    <t>Бетонные работы</t>
  </si>
  <si>
    <t>Ж/б  фундаментная плита дома , фундаменты под опоры навеса и террас</t>
  </si>
  <si>
    <t>Ж/б  Фундаменты гаража,мастерск.</t>
  </si>
  <si>
    <t>Перекрытия 1-го этажа</t>
  </si>
  <si>
    <t>Перекрытия 2-го этажа</t>
  </si>
  <si>
    <t>балка над окнами,усиление колонн</t>
  </si>
  <si>
    <t>Лестница внутренняя</t>
  </si>
  <si>
    <t>Колонны К1,К2</t>
  </si>
  <si>
    <t>Чаша бассейна</t>
  </si>
  <si>
    <t>Ступени крыльца, террассы с бочкой</t>
  </si>
  <si>
    <t>Фундаменты под фильтры,  насос, бак</t>
  </si>
  <si>
    <t>Металл.прокат для перекрытия вокруг бассейна</t>
  </si>
  <si>
    <t>т</t>
  </si>
  <si>
    <t>Профнастил Н 60-845-0,7</t>
  </si>
  <si>
    <t>Монтаж и укладка вентиляционн. каналов(в бетоне)</t>
  </si>
  <si>
    <t>Прокладка гофри (в бетоне)</t>
  </si>
  <si>
    <t>Всего бетонных работ</t>
  </si>
  <si>
    <t>Кладочные работы</t>
  </si>
  <si>
    <t>Кирпичные стены 250мм</t>
  </si>
  <si>
    <t>Кирпичные перегородки 120мм</t>
  </si>
  <si>
    <t>Керам.блоки POROTERM 250мм</t>
  </si>
  <si>
    <t>Кладочный раствор</t>
  </si>
  <si>
    <t xml:space="preserve">Кладочная сетка   d4 ячейкой 40х40 </t>
  </si>
  <si>
    <t>Всего кладочных работ</t>
  </si>
  <si>
    <t>Окна / двери</t>
  </si>
  <si>
    <t>Окна дерево-алюминиевые энергосберегающие стекло пакеты  со сливом</t>
  </si>
  <si>
    <t>Окна  деревянные однокамерный стелопакет</t>
  </si>
  <si>
    <t>Подоконники деревянные</t>
  </si>
  <si>
    <t>Двери входные в дом 1,6х2,3h</t>
  </si>
  <si>
    <t>Двери внутренние</t>
  </si>
  <si>
    <t>Пороги мрамор(в санузлах)</t>
  </si>
  <si>
    <r>
      <t xml:space="preserve">Ворота гаражные секционные 2.5х2.22  </t>
    </r>
    <r>
      <rPr>
        <i/>
        <sz val="12"/>
        <color indexed="8"/>
        <rFont val="Arial Cyr"/>
        <family val="2"/>
      </rPr>
      <t>ворота DOORHAN
RSD01S комплект2</t>
    </r>
  </si>
  <si>
    <t>Монтажная пена</t>
  </si>
  <si>
    <t>Всего окна и двери</t>
  </si>
  <si>
    <t>Деревянные перекрытия</t>
  </si>
  <si>
    <t xml:space="preserve">Обрезная доска толщ.50мм </t>
  </si>
  <si>
    <t xml:space="preserve">Деревянные Балки </t>
  </si>
  <si>
    <t>Лестницы</t>
  </si>
  <si>
    <t>всего работ по дерев.перекрытиям</t>
  </si>
  <si>
    <t>Кровля</t>
  </si>
  <si>
    <t>Деревянная часть: конек, мауэрлат,  балки, обрешётка, подшивная доска, кобылки</t>
  </si>
  <si>
    <t>Утеплитель: экстр. Пенополистирол +гидроизол. Пленка снизу и сверху</t>
  </si>
  <si>
    <t>Деревянные конструкции опор и балок  террасы ,входного навеса</t>
  </si>
  <si>
    <t>Водостоки</t>
  </si>
  <si>
    <t>всего кровельных работ</t>
  </si>
  <si>
    <t>Изоляционные работы</t>
  </si>
  <si>
    <t>Изоляция вводов инж.систем в дом в земле (используя сальники)</t>
  </si>
  <si>
    <t>Грунтовка стен, поклейка утеплителя на стены выше земли(200 мм) в два слоя</t>
  </si>
  <si>
    <t>Холодный битумный клей PC 56(3,5кг /м2)</t>
  </si>
  <si>
    <t>Грунтовка стен под землею, поклейка утеплителя на стены под землею (200мм) в два слоя</t>
  </si>
  <si>
    <t>Поклейка утеплителя под фундаментом (100мм) в один слой</t>
  </si>
  <si>
    <t>прокладка радоновой пленки</t>
  </si>
  <si>
    <t>Мастика битумная (для гидроизоляции + поклейки стекла)(3,5кг /м2)</t>
  </si>
  <si>
    <t>гидроизоляция фундамента и стен дома и гаража в земле</t>
  </si>
  <si>
    <t>всего изоляционных работ</t>
  </si>
  <si>
    <t>Внутренняя канализация / водопровод</t>
  </si>
  <si>
    <t xml:space="preserve">Прокладка труб </t>
  </si>
  <si>
    <t>Мойка кухонная с комплектующими</t>
  </si>
  <si>
    <t>Унитаз и комплектующие</t>
  </si>
  <si>
    <t>Рукомойник и комплектующие</t>
  </si>
  <si>
    <t>Ванна и комплектующие</t>
  </si>
  <si>
    <t>Душ и комплектующие</t>
  </si>
  <si>
    <t>Стиральная машина</t>
  </si>
  <si>
    <t>всего водопровод и канализация</t>
  </si>
  <si>
    <t>Электрика</t>
  </si>
  <si>
    <t>Монтаж ВРУ с подключением наружной проводки, изготовление электрощита</t>
  </si>
  <si>
    <t>Монтаж контура заземления</t>
  </si>
  <si>
    <t>Монтаж громоотвода</t>
  </si>
  <si>
    <t>Монтаж р/коробок, розеток, выключателей</t>
  </si>
  <si>
    <t>Монтаж электрощитков</t>
  </si>
  <si>
    <t>Монтаж электрозвонка</t>
  </si>
  <si>
    <t>Монтаж компьютерной и телефонной сети</t>
  </si>
  <si>
    <t>Монтаж светильников</t>
  </si>
  <si>
    <t>всего электрика</t>
  </si>
  <si>
    <t>Внутренняя отделка</t>
  </si>
  <si>
    <t>Стяжка на пол (50 мм по “теплому полу”)</t>
  </si>
  <si>
    <t>Стяжка на полу(50 мм без “теплого пола”)</t>
  </si>
  <si>
    <t>Пенополистирол 20 мм на пол</t>
  </si>
  <si>
    <t>Вспенен.полиэтилен 10мм на пол</t>
  </si>
  <si>
    <t>Ц.п.штукатурка по сетке стен под плитку</t>
  </si>
  <si>
    <t>Ц.п.штукатурка по сетке стен  и затирка под покраску</t>
  </si>
  <si>
    <t>Глин.штукатурка по сетке и затирка стен глиной под бумаж.обои</t>
  </si>
  <si>
    <t>Монтаж гипсокартона на потолок, шпаклевка</t>
  </si>
  <si>
    <t>Затирка  под покраску ж.б. перекрытия потолка</t>
  </si>
  <si>
    <t>Плитка на стене</t>
  </si>
  <si>
    <t>Грунтовка, наклейка обоев и  покраска в 2 слоя</t>
  </si>
  <si>
    <t>Покраска в 2 слоя стен и потолка</t>
  </si>
  <si>
    <t>Покрытие лаком потолка гаража</t>
  </si>
  <si>
    <t>Мозайка на чашу бассейна</t>
  </si>
  <si>
    <t>Сауна: Стены,потолок и полки  липа вагонка, доска</t>
  </si>
  <si>
    <t>Фольгиров.утеплитель на стены и потолок сауны</t>
  </si>
  <si>
    <t>Чистый пол: керам.плитка</t>
  </si>
  <si>
    <t xml:space="preserve">Чистый пол: паркетная доска + фанера </t>
  </si>
  <si>
    <t>Чистый пол: нат. Линолеум</t>
  </si>
  <si>
    <t>Чистый пол: песчаник(гараж)</t>
  </si>
  <si>
    <t>Устройство плинтусов</t>
  </si>
  <si>
    <t>всего внутренняя отделка</t>
  </si>
  <si>
    <t>Сетка + штукатурка + затирка + покраска</t>
  </si>
  <si>
    <t>Сетка +штукатурка+ облицовка камнем + затирка швов</t>
  </si>
  <si>
    <t>Деревянные декоративн.   Участки</t>
  </si>
  <si>
    <t>Палубная доска террас</t>
  </si>
  <si>
    <t>отмостка, облицовка камнем террас</t>
  </si>
  <si>
    <t>Всего фасадных  работ</t>
  </si>
  <si>
    <t>Инженерное оборудование:</t>
  </si>
  <si>
    <t>Бурение скважины для водоснабжения, установка оборудования (насос)</t>
  </si>
  <si>
    <t>урегулирование системы отопления / охлаждения. Установка оборудования в техпомещении</t>
  </si>
  <si>
    <t>Система отопления / охлаждения теплым полом / стенами</t>
  </si>
  <si>
    <t>Тепловой насос: выполнение земляного контура</t>
  </si>
  <si>
    <t>Тепловой насос</t>
  </si>
  <si>
    <t>Солнечные коллекторы, трубы, утепление 12 шт</t>
  </si>
  <si>
    <t>Оборудование для бассейна (фильтры, насосы, противоток)</t>
  </si>
  <si>
    <t>Бак-накопитель с утеплением</t>
  </si>
  <si>
    <t>Приточно-вытяжная установка и рекуператор</t>
  </si>
  <si>
    <t>Печь для сауны</t>
  </si>
  <si>
    <t xml:space="preserve">всего </t>
  </si>
  <si>
    <t>Внешнее благоустройство</t>
  </si>
  <si>
    <t>Временный забор</t>
  </si>
  <si>
    <t>Строительные  вагончики</t>
  </si>
  <si>
    <t>Стационарный  забор</t>
  </si>
  <si>
    <t>Озеленение, вырубка деревьев</t>
  </si>
  <si>
    <t>Благоустройство территории</t>
  </si>
  <si>
    <t>Дополнительные  затраты (по факту)</t>
  </si>
  <si>
    <t>Разгрузка-погрузка материала</t>
  </si>
  <si>
    <t>Доставка материала</t>
  </si>
  <si>
    <t>Вывоз мусора</t>
  </si>
  <si>
    <t xml:space="preserve">Всего стоимость работ </t>
  </si>
  <si>
    <t>Общая стоимость строительства дома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</si>
</sst>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&quot; м2&quot;"/>
    <numFmt numFmtId="166" formatCode="GENERAL"/>
    <numFmt numFmtId="167" formatCode="0.00&quot; м&quot;"/>
    <numFmt numFmtId="168" formatCode="0.00"/>
    <numFmt numFmtId="169" formatCode="0"/>
    <numFmt numFmtId="170" formatCode="0.0000"/>
    <numFmt numFmtId="171" formatCode="0.000"/>
  </numFmts>
  <fonts count="47">
    <font>
      <sz val="13"/>
      <name val="Times New Roman"/>
      <family val="1"/>
    </font>
    <font>
      <sz val="10"/>
      <name val="Arial"/>
      <family val="0"/>
    </font>
    <font>
      <b/>
      <sz val="13"/>
      <name val="Arial"/>
      <family val="2"/>
    </font>
    <font>
      <i/>
      <sz val="10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60"/>
      <name val="Times New Roman"/>
      <family val="1"/>
    </font>
    <font>
      <sz val="13"/>
      <color indexed="28"/>
      <name val="Times New Roman"/>
      <family val="1"/>
    </font>
    <font>
      <b/>
      <i/>
      <sz val="13"/>
      <name val="Times New Roman"/>
      <family val="1"/>
    </font>
    <font>
      <b/>
      <i/>
      <sz val="13"/>
      <color indexed="18"/>
      <name val="Times New Roman"/>
      <family val="1"/>
    </font>
    <font>
      <b/>
      <i/>
      <sz val="13"/>
      <color indexed="60"/>
      <name val="Times New Roman"/>
      <family val="1"/>
    </font>
    <font>
      <b/>
      <i/>
      <sz val="13"/>
      <color indexed="28"/>
      <name val="Times New Roman"/>
      <family val="1"/>
    </font>
    <font>
      <b/>
      <sz val="13"/>
      <color indexed="60"/>
      <name val="Arial"/>
      <family val="2"/>
    </font>
    <font>
      <b/>
      <sz val="13"/>
      <color indexed="18"/>
      <name val="Arial"/>
      <family val="2"/>
    </font>
    <font>
      <b/>
      <sz val="13"/>
      <color indexed="28"/>
      <name val="Arial"/>
      <family val="2"/>
    </font>
    <font>
      <sz val="13"/>
      <color indexed="59"/>
      <name val="Times New Roman"/>
      <family val="1"/>
    </font>
    <font>
      <sz val="13"/>
      <color indexed="54"/>
      <name val="Times New Roman"/>
      <family val="1"/>
    </font>
    <font>
      <b/>
      <sz val="13"/>
      <color indexed="54"/>
      <name val="Times New Roman"/>
      <family val="1"/>
    </font>
    <font>
      <b/>
      <sz val="13"/>
      <color indexed="59"/>
      <name val="Times New Roman"/>
      <family val="1"/>
    </font>
    <font>
      <b/>
      <sz val="13"/>
      <name val="Times New Roman"/>
      <family val="1"/>
    </font>
    <font>
      <b/>
      <sz val="13"/>
      <color indexed="20"/>
      <name val="Times New Roman"/>
      <family val="1"/>
    </font>
    <font>
      <b/>
      <sz val="13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11"/>
      <name val="Times New Roman"/>
      <family val="1"/>
    </font>
    <font>
      <b/>
      <sz val="13"/>
      <color indexed="11"/>
      <name val="Times New Roman"/>
      <family val="1"/>
    </font>
    <font>
      <b/>
      <sz val="13"/>
      <color indexed="25"/>
      <name val="Times New Roman"/>
      <family val="1"/>
    </font>
    <font>
      <sz val="13"/>
      <color indexed="17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3"/>
      <color indexed="25"/>
      <name val="Times New Roman"/>
      <family val="1"/>
    </font>
    <font>
      <sz val="13"/>
      <color indexed="63"/>
      <name val="Times New Roman"/>
      <family val="1"/>
    </font>
    <font>
      <sz val="13"/>
      <name val="HelveticaNeueLTCom-LtCn"/>
      <family val="0"/>
    </font>
    <font>
      <sz val="13"/>
      <color indexed="53"/>
      <name val="Times New Roman"/>
      <family val="1"/>
    </font>
    <font>
      <b/>
      <sz val="13"/>
      <color indexed="8"/>
      <name val="Arial"/>
      <family val="2"/>
    </font>
    <font>
      <b/>
      <i/>
      <sz val="11"/>
      <color indexed="6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0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i/>
      <sz val="13"/>
      <name val="Times New Roman"/>
      <family val="1"/>
    </font>
    <font>
      <b/>
      <i/>
      <sz val="13"/>
      <name val="Arial"/>
      <family val="2"/>
    </font>
    <font>
      <i/>
      <sz val="13"/>
      <color indexed="8"/>
      <name val="Times New Roman"/>
      <family val="1"/>
    </font>
    <font>
      <i/>
      <sz val="12"/>
      <color indexed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NumberFormat="0" applyProtection="0">
      <alignment horizontal="left"/>
    </xf>
    <xf numFmtId="164" fontId="0" fillId="0" borderId="0" applyNumberFormat="0" applyFill="0" applyBorder="0" applyProtection="0">
      <alignment horizontal="left" vertical="top" wrapText="1"/>
    </xf>
    <xf numFmtId="164" fontId="0" fillId="0" borderId="0" applyNumberFormat="0" applyFill="0" applyBorder="0" applyProtection="0">
      <alignment horizontal="left" vertical="top"/>
    </xf>
    <xf numFmtId="164" fontId="0" fillId="0" borderId="0" applyNumberFormat="0" applyFill="0" applyBorder="0" applyProtection="0">
      <alignment wrapText="1"/>
    </xf>
    <xf numFmtId="164" fontId="3" fillId="0" borderId="0" applyNumberFormat="0" applyFill="0" applyBorder="0" applyProtection="0">
      <alignment horizontal="left" vertical="top" wrapText="1"/>
    </xf>
    <xf numFmtId="164" fontId="7" fillId="0" borderId="0" applyNumberFormat="0" applyBorder="0" applyProtection="0">
      <alignment horizontal="left"/>
    </xf>
    <xf numFmtId="164" fontId="7" fillId="0" borderId="0" applyNumberFormat="0" applyBorder="0" applyProtection="0">
      <alignment horizontal="left" textRotation="90"/>
    </xf>
  </cellStyleXfs>
  <cellXfs count="2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1" xfId="20" applyFont="1">
      <alignment horizontal="left"/>
    </xf>
    <xf numFmtId="165" fontId="7" fillId="0" borderId="0" xfId="25" applyNumberFormat="1">
      <alignment horizontal="left"/>
    </xf>
    <xf numFmtId="164" fontId="8" fillId="0" borderId="0" xfId="25" applyFont="1">
      <alignment horizontal="left"/>
    </xf>
    <xf numFmtId="165" fontId="9" fillId="0" borderId="0" xfId="25" applyNumberFormat="1" applyFont="1">
      <alignment horizontal="left"/>
    </xf>
    <xf numFmtId="164" fontId="10" fillId="0" borderId="0" xfId="25" applyFont="1">
      <alignment horizontal="left"/>
    </xf>
    <xf numFmtId="164" fontId="9" fillId="0" borderId="0" xfId="25" applyFont="1">
      <alignment horizontal="left"/>
    </xf>
    <xf numFmtId="164" fontId="7" fillId="0" borderId="0" xfId="25">
      <alignment horizontal="left"/>
    </xf>
    <xf numFmtId="164" fontId="9" fillId="0" borderId="0" xfId="25" applyFont="1" applyFill="1">
      <alignment horizontal="left"/>
    </xf>
    <xf numFmtId="164" fontId="5" fillId="0" borderId="0" xfId="0" applyFont="1" applyFill="1" applyAlignment="1">
      <alignment/>
    </xf>
    <xf numFmtId="165" fontId="2" fillId="0" borderId="1" xfId="20" applyNumberFormat="1">
      <alignment horizontal="left"/>
    </xf>
    <xf numFmtId="165" fontId="11" fillId="0" borderId="1" xfId="20" applyNumberFormat="1" applyFont="1">
      <alignment horizontal="left"/>
    </xf>
    <xf numFmtId="164" fontId="12" fillId="0" borderId="1" xfId="20" applyFont="1">
      <alignment horizontal="left"/>
    </xf>
    <xf numFmtId="164" fontId="13" fillId="0" borderId="1" xfId="20" applyFont="1">
      <alignment horizontal="left"/>
    </xf>
    <xf numFmtId="164" fontId="11" fillId="0" borderId="1" xfId="20" applyFont="1">
      <alignment horizontal="left"/>
    </xf>
    <xf numFmtId="164" fontId="11" fillId="0" borderId="1" xfId="20" applyFont="1" applyFill="1">
      <alignment horizontal="left"/>
    </xf>
    <xf numFmtId="165" fontId="0" fillId="2" borderId="0" xfId="0" applyNumberFormat="1" applyFill="1" applyAlignment="1">
      <alignment/>
    </xf>
    <xf numFmtId="164" fontId="0" fillId="2" borderId="0" xfId="0" applyFont="1" applyFill="1" applyAlignment="1">
      <alignment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4" fontId="17" fillId="0" borderId="0" xfId="0" applyFont="1" applyAlignment="1">
      <alignment/>
    </xf>
    <xf numFmtId="165" fontId="0" fillId="0" borderId="0" xfId="0" applyNumberFormat="1" applyFill="1" applyAlignment="1">
      <alignment/>
    </xf>
    <xf numFmtId="164" fontId="0" fillId="0" borderId="2" xfId="0" applyFont="1" applyFill="1" applyBorder="1" applyAlignment="1">
      <alignment/>
    </xf>
    <xf numFmtId="165" fontId="18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4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0" fillId="0" borderId="3" xfId="0" applyBorder="1" applyAlignment="1">
      <alignment/>
    </xf>
    <xf numFmtId="164" fontId="5" fillId="0" borderId="3" xfId="0" applyFont="1" applyFill="1" applyBorder="1" applyAlignment="1">
      <alignment/>
    </xf>
    <xf numFmtId="165" fontId="18" fillId="0" borderId="0" xfId="0" applyNumberFormat="1" applyFont="1" applyAlignment="1">
      <alignment/>
    </xf>
    <xf numFmtId="165" fontId="13" fillId="0" borderId="1" xfId="20" applyNumberFormat="1" applyFont="1">
      <alignment horizontal="left"/>
    </xf>
    <xf numFmtId="164" fontId="19" fillId="0" borderId="0" xfId="0" applyFont="1" applyAlignment="1">
      <alignment/>
    </xf>
    <xf numFmtId="164" fontId="19" fillId="0" borderId="0" xfId="0" applyFont="1" applyFill="1" applyAlignment="1">
      <alignment/>
    </xf>
    <xf numFmtId="164" fontId="0" fillId="0" borderId="0" xfId="0" applyAlignment="1">
      <alignment/>
    </xf>
    <xf numFmtId="164" fontId="0" fillId="0" borderId="2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8" fillId="0" borderId="0" xfId="0" applyFont="1" applyAlignment="1">
      <alignment/>
    </xf>
    <xf numFmtId="167" fontId="0" fillId="0" borderId="0" xfId="0" applyNumberFormat="1" applyAlignment="1">
      <alignment/>
    </xf>
    <xf numFmtId="164" fontId="20" fillId="0" borderId="0" xfId="0" applyFont="1" applyAlignment="1">
      <alignment/>
    </xf>
    <xf numFmtId="164" fontId="0" fillId="3" borderId="0" xfId="0" applyFill="1" applyAlignment="1">
      <alignment/>
    </xf>
    <xf numFmtId="164" fontId="0" fillId="4" borderId="4" xfId="0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6" borderId="6" xfId="0" applyFont="1" applyFill="1" applyBorder="1" applyAlignment="1">
      <alignment/>
    </xf>
    <xf numFmtId="164" fontId="0" fillId="7" borderId="6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3" xfId="0" applyFont="1" applyBorder="1" applyAlignment="1">
      <alignment/>
    </xf>
    <xf numFmtId="164" fontId="0" fillId="8" borderId="3" xfId="0" applyFill="1" applyBorder="1" applyAlignment="1">
      <alignment horizontal="left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18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ill="1" applyAlignment="1">
      <alignment horizontal="left"/>
    </xf>
    <xf numFmtId="164" fontId="0" fillId="0" borderId="0" xfId="0" applyAlignment="1">
      <alignment horizontal="left"/>
    </xf>
    <xf numFmtId="164" fontId="18" fillId="10" borderId="0" xfId="0" applyFont="1" applyFill="1" applyAlignment="1">
      <alignment/>
    </xf>
    <xf numFmtId="164" fontId="0" fillId="0" borderId="0" xfId="0" applyAlignment="1">
      <alignment horizontal="center"/>
    </xf>
    <xf numFmtId="164" fontId="21" fillId="0" borderId="0" xfId="0" applyFont="1" applyAlignment="1">
      <alignment/>
    </xf>
    <xf numFmtId="164" fontId="0" fillId="4" borderId="6" xfId="0" applyFont="1" applyFill="1" applyBorder="1" applyAlignment="1">
      <alignment/>
    </xf>
    <xf numFmtId="164" fontId="0" fillId="5" borderId="6" xfId="0" applyFont="1" applyFill="1" applyBorder="1" applyAlignment="1">
      <alignment/>
    </xf>
    <xf numFmtId="164" fontId="0" fillId="8" borderId="11" xfId="0" applyFill="1" applyBorder="1" applyAlignment="1">
      <alignment horizontal="left"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4" fontId="0" fillId="11" borderId="0" xfId="0" applyFill="1" applyAlignment="1">
      <alignment/>
    </xf>
    <xf numFmtId="164" fontId="18" fillId="11" borderId="0" xfId="0" applyFont="1" applyFill="1" applyAlignment="1">
      <alignment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0" fillId="0" borderId="0" xfId="21" applyFont="1" applyAlignment="1">
      <alignment horizontal="left" vertical="top" wrapText="1"/>
    </xf>
    <xf numFmtId="164" fontId="0" fillId="0" borderId="0" xfId="21" applyFont="1" applyFill="1" applyAlignment="1">
      <alignment horizontal="left" vertical="top" wrapText="1"/>
    </xf>
    <xf numFmtId="164" fontId="18" fillId="0" borderId="0" xfId="0" applyFont="1" applyFill="1" applyAlignment="1">
      <alignment/>
    </xf>
    <xf numFmtId="164" fontId="0" fillId="0" borderId="0" xfId="0" applyFont="1" applyBorder="1" applyAlignment="1">
      <alignment/>
    </xf>
    <xf numFmtId="168" fontId="18" fillId="0" borderId="0" xfId="0" applyNumberFormat="1" applyFont="1" applyAlignment="1">
      <alignment/>
    </xf>
    <xf numFmtId="164" fontId="2" fillId="0" borderId="1" xfId="20" applyNumberFormat="1">
      <alignment horizontal="left"/>
    </xf>
    <xf numFmtId="164" fontId="18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4" fontId="2" fillId="0" borderId="1" xfId="20" applyFont="1" applyAlignment="1">
      <alignment horizontal="left" wrapText="1"/>
    </xf>
    <xf numFmtId="164" fontId="7" fillId="0" borderId="0" xfId="26" applyFont="1">
      <alignment horizontal="left" textRotation="90"/>
    </xf>
    <xf numFmtId="169" fontId="7" fillId="0" borderId="0" xfId="26" applyNumberFormat="1" applyFont="1">
      <alignment horizontal="left" textRotation="90"/>
    </xf>
    <xf numFmtId="169" fontId="21" fillId="0" borderId="0" xfId="0" applyNumberFormat="1" applyFont="1" applyAlignment="1">
      <alignment/>
    </xf>
    <xf numFmtId="164" fontId="0" fillId="0" borderId="0" xfId="21" applyFont="1">
      <alignment horizontal="left" vertical="top" wrapText="1"/>
    </xf>
    <xf numFmtId="164" fontId="21" fillId="10" borderId="0" xfId="0" applyFont="1" applyFill="1" applyAlignment="1">
      <alignment/>
    </xf>
    <xf numFmtId="169" fontId="21" fillId="10" borderId="0" xfId="0" applyNumberFormat="1" applyFont="1" applyFill="1" applyAlignment="1">
      <alignment/>
    </xf>
    <xf numFmtId="164" fontId="0" fillId="10" borderId="0" xfId="0" applyFill="1" applyAlignment="1">
      <alignment/>
    </xf>
    <xf numFmtId="169" fontId="23" fillId="10" borderId="0" xfId="0" applyNumberFormat="1" applyFont="1" applyFill="1" applyAlignment="1">
      <alignment/>
    </xf>
    <xf numFmtId="164" fontId="23" fillId="10" borderId="0" xfId="0" applyFont="1" applyFill="1" applyAlignment="1">
      <alignment/>
    </xf>
    <xf numFmtId="164" fontId="0" fillId="0" borderId="0" xfId="0" applyFont="1" applyAlignment="1">
      <alignment/>
    </xf>
    <xf numFmtId="164" fontId="18" fillId="0" borderId="0" xfId="21" applyFont="1">
      <alignment horizontal="left" vertical="top" wrapText="1"/>
    </xf>
    <xf numFmtId="169" fontId="18" fillId="0" borderId="0" xfId="0" applyNumberFormat="1" applyFont="1" applyAlignment="1">
      <alignment/>
    </xf>
    <xf numFmtId="164" fontId="18" fillId="12" borderId="0" xfId="0" applyFont="1" applyFill="1" applyAlignment="1">
      <alignment/>
    </xf>
    <xf numFmtId="170" fontId="0" fillId="12" borderId="0" xfId="0" applyNumberFormat="1" applyFill="1" applyAlignment="1">
      <alignment/>
    </xf>
    <xf numFmtId="164" fontId="0" fillId="12" borderId="0" xfId="0" applyFill="1" applyAlignment="1">
      <alignment/>
    </xf>
    <xf numFmtId="171" fontId="0" fillId="12" borderId="0" xfId="0" applyNumberFormat="1" applyFill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18" fillId="2" borderId="0" xfId="0" applyFont="1" applyFill="1" applyAlignment="1">
      <alignment horizontal="left" vertical="top" wrapText="1"/>
    </xf>
    <xf numFmtId="164" fontId="18" fillId="2" borderId="0" xfId="0" applyFont="1" applyFill="1" applyAlignment="1">
      <alignment/>
    </xf>
    <xf numFmtId="164" fontId="0" fillId="2" borderId="0" xfId="0" applyFill="1" applyAlignment="1">
      <alignment/>
    </xf>
    <xf numFmtId="164" fontId="18" fillId="13" borderId="0" xfId="0" applyFont="1" applyFill="1" applyAlignment="1">
      <alignment/>
    </xf>
    <xf numFmtId="164" fontId="0" fillId="13" borderId="0" xfId="0" applyFill="1" applyAlignment="1">
      <alignment/>
    </xf>
    <xf numFmtId="164" fontId="26" fillId="0" borderId="0" xfId="0" applyFont="1" applyAlignment="1">
      <alignment/>
    </xf>
    <xf numFmtId="171" fontId="27" fillId="0" borderId="0" xfId="0" applyNumberFormat="1" applyFont="1" applyAlignment="1">
      <alignment/>
    </xf>
    <xf numFmtId="164" fontId="0" fillId="11" borderId="0" xfId="0" applyFont="1" applyFill="1" applyAlignment="1">
      <alignment/>
    </xf>
    <xf numFmtId="164" fontId="28" fillId="11" borderId="0" xfId="0" applyFont="1" applyFill="1" applyAlignment="1">
      <alignment/>
    </xf>
    <xf numFmtId="164" fontId="26" fillId="13" borderId="0" xfId="0" applyFont="1" applyFill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71" fontId="18" fillId="11" borderId="0" xfId="0" applyNumberFormat="1" applyFont="1" applyFill="1" applyAlignment="1">
      <alignment/>
    </xf>
    <xf numFmtId="171" fontId="18" fillId="13" borderId="0" xfId="0" applyNumberFormat="1" applyFont="1" applyFill="1" applyAlignment="1">
      <alignment/>
    </xf>
    <xf numFmtId="164" fontId="27" fillId="0" borderId="0" xfId="0" applyFont="1" applyAlignment="1">
      <alignment/>
    </xf>
    <xf numFmtId="171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71" fontId="18" fillId="2" borderId="0" xfId="0" applyNumberFormat="1" applyFont="1" applyFill="1" applyAlignment="1">
      <alignment/>
    </xf>
    <xf numFmtId="164" fontId="18" fillId="0" borderId="5" xfId="0" applyFont="1" applyFill="1" applyBorder="1" applyAlignment="1">
      <alignment/>
    </xf>
    <xf numFmtId="164" fontId="18" fillId="0" borderId="14" xfId="0" applyFont="1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11" xfId="0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31" fillId="0" borderId="0" xfId="0" applyFont="1" applyAlignment="1">
      <alignment/>
    </xf>
    <xf numFmtId="164" fontId="0" fillId="0" borderId="15" xfId="0" applyFont="1" applyBorder="1" applyAlignment="1">
      <alignment horizontal="right"/>
    </xf>
    <xf numFmtId="164" fontId="0" fillId="2" borderId="12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32" fillId="0" borderId="15" xfId="0" applyFont="1" applyBorder="1" applyAlignment="1">
      <alignment/>
    </xf>
    <xf numFmtId="164" fontId="32" fillId="0" borderId="15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2" borderId="15" xfId="0" applyFont="1" applyFill="1" applyBorder="1" applyAlignment="1">
      <alignment/>
    </xf>
    <xf numFmtId="164" fontId="33" fillId="0" borderId="0" xfId="0" applyFont="1" applyAlignment="1">
      <alignment/>
    </xf>
    <xf numFmtId="164" fontId="34" fillId="0" borderId="1" xfId="20" applyFont="1" applyAlignment="1">
      <alignment horizontal="left"/>
    </xf>
    <xf numFmtId="164" fontId="35" fillId="0" borderId="0" xfId="25" applyFont="1">
      <alignment horizontal="left"/>
    </xf>
    <xf numFmtId="164" fontId="36" fillId="0" borderId="0" xfId="0" applyFont="1" applyAlignment="1">
      <alignment/>
    </xf>
    <xf numFmtId="164" fontId="37" fillId="0" borderId="0" xfId="25" applyFont="1">
      <alignment horizontal="left"/>
    </xf>
    <xf numFmtId="164" fontId="38" fillId="0" borderId="0" xfId="25" applyFont="1" applyAlignment="1">
      <alignment horizontal="center"/>
    </xf>
    <xf numFmtId="164" fontId="35" fillId="0" borderId="0" xfId="25" applyFont="1" applyAlignment="1">
      <alignment horizontal="center"/>
    </xf>
    <xf numFmtId="164" fontId="36" fillId="0" borderId="7" xfId="0" applyFont="1" applyBorder="1" applyAlignment="1">
      <alignment/>
    </xf>
    <xf numFmtId="164" fontId="37" fillId="0" borderId="3" xfId="25" applyFont="1" applyBorder="1" applyAlignment="1">
      <alignment horizontal="center"/>
    </xf>
    <xf numFmtId="164" fontId="37" fillId="0" borderId="11" xfId="25" applyFont="1" applyBorder="1" applyAlignment="1">
      <alignment horizontal="center"/>
    </xf>
    <xf numFmtId="164" fontId="37" fillId="0" borderId="8" xfId="25" applyFont="1" applyBorder="1" applyAlignment="1">
      <alignment horizontal="center"/>
    </xf>
    <xf numFmtId="164" fontId="36" fillId="0" borderId="9" xfId="0" applyFont="1" applyBorder="1" applyAlignment="1">
      <alignment/>
    </xf>
    <xf numFmtId="164" fontId="36" fillId="0" borderId="2" xfId="0" applyFont="1" applyBorder="1" applyAlignment="1">
      <alignment/>
    </xf>
    <xf numFmtId="164" fontId="37" fillId="0" borderId="13" xfId="25" applyFont="1" applyBorder="1" applyAlignment="1">
      <alignment horizontal="center"/>
    </xf>
    <xf numFmtId="164" fontId="37" fillId="0" borderId="2" xfId="25" applyFont="1" applyBorder="1" applyAlignment="1">
      <alignment horizontal="center"/>
    </xf>
    <xf numFmtId="164" fontId="37" fillId="0" borderId="10" xfId="25" applyFont="1" applyBorder="1" applyAlignment="1">
      <alignment horizontal="center"/>
    </xf>
    <xf numFmtId="164" fontId="39" fillId="0" borderId="11" xfId="20" applyFont="1" applyBorder="1" applyAlignment="1">
      <alignment horizontal="center"/>
    </xf>
    <xf numFmtId="164" fontId="39" fillId="0" borderId="3" xfId="20" applyFont="1" applyBorder="1">
      <alignment horizontal="left"/>
    </xf>
    <xf numFmtId="164" fontId="39" fillId="0" borderId="3" xfId="20" applyFont="1" applyBorder="1" applyAlignment="1">
      <alignment horizontal="center"/>
    </xf>
    <xf numFmtId="164" fontId="39" fillId="0" borderId="11" xfId="20" applyFont="1" applyBorder="1">
      <alignment horizontal="left"/>
    </xf>
    <xf numFmtId="164" fontId="36" fillId="0" borderId="3" xfId="0" applyFont="1" applyBorder="1" applyAlignment="1">
      <alignment/>
    </xf>
    <xf numFmtId="164" fontId="36" fillId="0" borderId="11" xfId="0" applyFont="1" applyBorder="1" applyAlignment="1">
      <alignment/>
    </xf>
    <xf numFmtId="164" fontId="36" fillId="0" borderId="8" xfId="0" applyFont="1" applyBorder="1" applyAlignment="1">
      <alignment/>
    </xf>
    <xf numFmtId="164" fontId="40" fillId="0" borderId="6" xfId="0" applyFont="1" applyBorder="1" applyAlignment="1">
      <alignment horizontal="center"/>
    </xf>
    <xf numFmtId="164" fontId="40" fillId="0" borderId="14" xfId="0" applyFont="1" applyBorder="1" applyAlignment="1">
      <alignment/>
    </xf>
    <xf numFmtId="164" fontId="40" fillId="2" borderId="6" xfId="0" applyFont="1" applyFill="1" applyBorder="1" applyAlignment="1">
      <alignment horizontal="center"/>
    </xf>
    <xf numFmtId="164" fontId="36" fillId="0" borderId="14" xfId="0" applyFont="1" applyBorder="1" applyAlignment="1">
      <alignment/>
    </xf>
    <xf numFmtId="164" fontId="40" fillId="0" borderId="4" xfId="0" applyFont="1" applyBorder="1" applyAlignment="1">
      <alignment/>
    </xf>
    <xf numFmtId="164" fontId="40" fillId="0" borderId="15" xfId="0" applyFont="1" applyBorder="1" applyAlignment="1">
      <alignment horizontal="center"/>
    </xf>
    <xf numFmtId="164" fontId="40" fillId="0" borderId="0" xfId="0" applyFont="1" applyAlignment="1">
      <alignment/>
    </xf>
    <xf numFmtId="164" fontId="40" fillId="2" borderId="15" xfId="0" applyFont="1" applyFill="1" applyBorder="1" applyAlignment="1">
      <alignment horizontal="center"/>
    </xf>
    <xf numFmtId="164" fontId="40" fillId="0" borderId="16" xfId="0" applyFont="1" applyBorder="1" applyAlignment="1">
      <alignment/>
    </xf>
    <xf numFmtId="164" fontId="40" fillId="0" borderId="11" xfId="0" applyFont="1" applyBorder="1" applyAlignment="1">
      <alignment horizontal="center"/>
    </xf>
    <xf numFmtId="164" fontId="40" fillId="0" borderId="3" xfId="0" applyFont="1" applyBorder="1" applyAlignment="1">
      <alignment/>
    </xf>
    <xf numFmtId="164" fontId="40" fillId="2" borderId="11" xfId="0" applyFont="1" applyFill="1" applyBorder="1" applyAlignment="1">
      <alignment horizontal="center"/>
    </xf>
    <xf numFmtId="164" fontId="40" fillId="0" borderId="8" xfId="0" applyFont="1" applyBorder="1" applyAlignment="1">
      <alignment/>
    </xf>
    <xf numFmtId="164" fontId="40" fillId="0" borderId="13" xfId="0" applyFont="1" applyBorder="1" applyAlignment="1">
      <alignment horizontal="center"/>
    </xf>
    <xf numFmtId="164" fontId="40" fillId="0" borderId="2" xfId="0" applyFont="1" applyBorder="1" applyAlignment="1">
      <alignment/>
    </xf>
    <xf numFmtId="164" fontId="40" fillId="2" borderId="13" xfId="0" applyFont="1" applyFill="1" applyBorder="1" applyAlignment="1">
      <alignment horizontal="center"/>
    </xf>
    <xf numFmtId="164" fontId="40" fillId="0" borderId="10" xfId="0" applyFont="1" applyBorder="1" applyAlignment="1">
      <alignment/>
    </xf>
    <xf numFmtId="164" fontId="41" fillId="0" borderId="3" xfId="0" applyFont="1" applyBorder="1" applyAlignment="1">
      <alignment/>
    </xf>
    <xf numFmtId="164" fontId="36" fillId="0" borderId="7" xfId="0" applyFont="1" applyBorder="1" applyAlignment="1">
      <alignment horizontal="center"/>
    </xf>
    <xf numFmtId="164" fontId="42" fillId="0" borderId="0" xfId="0" applyFont="1" applyAlignment="1">
      <alignment/>
    </xf>
    <xf numFmtId="164" fontId="36" fillId="0" borderId="6" xfId="0" applyFont="1" applyBorder="1" applyAlignment="1">
      <alignment/>
    </xf>
    <xf numFmtId="164" fontId="40" fillId="0" borderId="6" xfId="0" applyFont="1" applyBorder="1" applyAlignment="1">
      <alignment/>
    </xf>
    <xf numFmtId="164" fontId="42" fillId="2" borderId="6" xfId="0" applyFont="1" applyFill="1" applyBorder="1" applyAlignment="1">
      <alignment/>
    </xf>
    <xf numFmtId="164" fontId="42" fillId="0" borderId="6" xfId="0" applyFont="1" applyBorder="1" applyAlignment="1">
      <alignment/>
    </xf>
    <xf numFmtId="164" fontId="36" fillId="0" borderId="0" xfId="0" applyFont="1" applyBorder="1" applyAlignment="1">
      <alignment/>
    </xf>
    <xf numFmtId="164" fontId="42" fillId="0" borderId="0" xfId="0" applyFont="1" applyBorder="1" applyAlignment="1">
      <alignment/>
    </xf>
    <xf numFmtId="164" fontId="0" fillId="0" borderId="0" xfId="22">
      <alignment horizontal="left" vertical="top"/>
    </xf>
    <xf numFmtId="164" fontId="3" fillId="0" borderId="0" xfId="24">
      <alignment horizontal="left" vertical="top" wrapText="1"/>
    </xf>
    <xf numFmtId="164" fontId="43" fillId="0" borderId="0" xfId="22" applyFont="1">
      <alignment horizontal="left" vertical="top"/>
    </xf>
    <xf numFmtId="164" fontId="43" fillId="0" borderId="0" xfId="0" applyFont="1" applyAlignment="1">
      <alignment/>
    </xf>
    <xf numFmtId="164" fontId="7" fillId="0" borderId="0" xfId="25" applyFont="1">
      <alignment horizontal="left"/>
    </xf>
    <xf numFmtId="164" fontId="44" fillId="0" borderId="1" xfId="20" applyFont="1">
      <alignment horizontal="left"/>
    </xf>
    <xf numFmtId="164" fontId="43" fillId="0" borderId="0" xfId="23" applyFont="1">
      <alignment wrapText="1"/>
    </xf>
    <xf numFmtId="164" fontId="43" fillId="0" borderId="0" xfId="0" applyFont="1" applyFill="1" applyAlignment="1">
      <alignment/>
    </xf>
    <xf numFmtId="164" fontId="43" fillId="0" borderId="0" xfId="21" applyFont="1">
      <alignment horizontal="left" vertical="top" wrapText="1"/>
    </xf>
    <xf numFmtId="164" fontId="7" fillId="0" borderId="0" xfId="0" applyFont="1" applyAlignment="1">
      <alignment/>
    </xf>
    <xf numFmtId="164" fontId="43" fillId="0" borderId="0" xfId="23" applyFont="1" applyFill="1">
      <alignment wrapText="1"/>
    </xf>
    <xf numFmtId="164" fontId="45" fillId="0" borderId="0" xfId="23" applyFont="1" applyAlignment="1">
      <alignment wrapText="1"/>
    </xf>
    <xf numFmtId="164" fontId="44" fillId="0" borderId="1" xfId="20" applyFont="1" applyAlignment="1">
      <alignment horizontal="left" wrapText="1"/>
    </xf>
    <xf numFmtId="164" fontId="43" fillId="0" borderId="0" xfId="23" applyFont="1" applyAlignment="1">
      <alignment wrapText="1"/>
    </xf>
    <xf numFmtId="164" fontId="7" fillId="0" borderId="0" xfId="25" applyFont="1" applyAlignment="1">
      <alignment horizontal="left" wrapText="1"/>
    </xf>
    <xf numFmtId="164" fontId="7" fillId="0" borderId="0" xfId="25" applyAlignment="1">
      <alignment horizontal="left" wrapText="1"/>
    </xf>
    <xf numFmtId="164" fontId="43" fillId="0" borderId="0" xfId="21" applyFont="1" applyFill="1">
      <alignment horizontal="left" vertical="top" wrapText="1"/>
    </xf>
    <xf numFmtId="164" fontId="7" fillId="0" borderId="3" xfId="25" applyFont="1" applyBorder="1">
      <alignment horizontal="left"/>
    </xf>
    <xf numFmtId="164" fontId="7" fillId="14" borderId="3" xfId="25" applyFill="1" applyBorder="1">
      <alignment horizontal="left"/>
    </xf>
    <xf numFmtId="164" fontId="7" fillId="15" borderId="0" xfId="25" applyFont="1" applyFill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2" xfId="20"/>
    <cellStyle name="перенос" xfId="21"/>
    <cellStyle name="Цифра" xfId="22"/>
    <cellStyle name="Базовый переносы" xfId="23"/>
    <cellStyle name="С переносом" xfId="24"/>
    <cellStyle name="Заголовок" xfId="25"/>
    <cellStyle name="Заголовок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B80047"/>
      <rgbColor rgb="00008080"/>
      <rgbColor rgb="00C0C0C0"/>
      <rgbColor rgb="00808080"/>
      <rgbColor rgb="009999FF"/>
      <rgbColor rgb="00DC2300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3F00"/>
      <rgbColor rgb="00666699"/>
      <rgbColor rgb="007DA647"/>
      <rgbColor rgb="00003366"/>
      <rgbColor rgb="00339966"/>
      <rgbColor rgb="00003300"/>
      <rgbColor rgb="00663300"/>
      <rgbColor rgb="00B84700"/>
      <rgbColor rgb="00993366"/>
      <rgbColor rgb="00333399"/>
      <rgbColor rgb="00585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SheetLayoutView="100" workbookViewId="0" topLeftCell="A35">
      <selection activeCell="W16" sqref="A1:IV65536"/>
    </sheetView>
  </sheetViews>
  <sheetFormatPr defaultColWidth="9.77734375" defaultRowHeight="16.5"/>
  <cols>
    <col min="1" max="1" width="2.77734375" style="0" customWidth="1"/>
    <col min="2" max="2" width="20.77734375" style="0" customWidth="1"/>
    <col min="3" max="3" width="1.2265625" style="0" customWidth="1"/>
    <col min="4" max="4" width="9.99609375" style="1" customWidth="1"/>
    <col min="5" max="5" width="5.21484375" style="1" customWidth="1"/>
    <col min="6" max="6" width="9.77734375" style="2" customWidth="1"/>
    <col min="7" max="7" width="3.21484375" style="2" customWidth="1"/>
    <col min="8" max="8" width="7.6640625" style="3" customWidth="1"/>
    <col min="9" max="9" width="8.21484375" style="4" customWidth="1"/>
    <col min="10" max="10" width="7.4453125" style="4" customWidth="1"/>
    <col min="11" max="11" width="8.4453125" style="5" customWidth="1"/>
    <col min="12" max="12" width="8.21484375" style="5" customWidth="1"/>
    <col min="13" max="13" width="5.5546875" style="5" customWidth="1"/>
    <col min="14" max="14" width="5.21484375" style="5" customWidth="1"/>
    <col min="15" max="15" width="6.10546875" style="0" customWidth="1"/>
    <col min="16" max="16" width="7.5546875" style="5" customWidth="1"/>
    <col min="17" max="17" width="8.10546875" style="5" customWidth="1"/>
    <col min="18" max="18" width="8.21484375" style="5" customWidth="1"/>
    <col min="19" max="19" width="6.88671875" style="5" customWidth="1"/>
    <col min="20" max="21" width="1.2265625" style="0" customWidth="1"/>
    <col min="22" max="22" width="8.4453125" style="0" customWidth="1"/>
    <col min="23" max="23" width="3.6640625" style="0" customWidth="1"/>
    <col min="24" max="24" width="6.21484375" style="0" customWidth="1"/>
  </cols>
  <sheetData>
    <row r="1" spans="2:19" ht="16.5">
      <c r="B1" s="6" t="s">
        <v>0</v>
      </c>
      <c r="C1" s="6"/>
      <c r="D1" s="7"/>
      <c r="E1" s="7"/>
      <c r="F1" s="8"/>
      <c r="G1" s="8"/>
      <c r="H1" s="9"/>
      <c r="I1" s="10"/>
      <c r="J1" s="10"/>
      <c r="K1" s="9"/>
      <c r="L1" s="11"/>
      <c r="M1" s="11"/>
      <c r="N1" s="11"/>
      <c r="O1" s="12"/>
      <c r="P1" s="11"/>
      <c r="Q1" s="11"/>
      <c r="R1" s="11"/>
      <c r="S1" s="11"/>
    </row>
    <row r="2" spans="2:19" ht="16.5">
      <c r="B2" s="12"/>
      <c r="C2" s="12"/>
      <c r="D2" s="7"/>
      <c r="E2" s="7"/>
      <c r="F2" s="8"/>
      <c r="G2" s="8"/>
      <c r="H2" s="9"/>
      <c r="I2" s="10"/>
      <c r="J2" s="10"/>
      <c r="K2" s="9"/>
      <c r="L2" s="11"/>
      <c r="M2" s="11"/>
      <c r="N2" s="11"/>
      <c r="O2" s="12"/>
      <c r="P2" s="11"/>
      <c r="Q2" s="11"/>
      <c r="R2" s="11"/>
      <c r="S2" s="11"/>
    </row>
    <row r="3" spans="2:22" ht="16.5">
      <c r="B3" s="12" t="s">
        <v>1</v>
      </c>
      <c r="C3" s="12"/>
      <c r="D3" s="7" t="s">
        <v>2</v>
      </c>
      <c r="E3" s="7" t="s">
        <v>3</v>
      </c>
      <c r="F3" s="8" t="s">
        <v>4</v>
      </c>
      <c r="G3" s="8"/>
      <c r="H3" s="9" t="s">
        <v>5</v>
      </c>
      <c r="I3" s="10" t="s">
        <v>6</v>
      </c>
      <c r="J3" s="10"/>
      <c r="K3" s="9" t="s">
        <v>7</v>
      </c>
      <c r="L3" s="11"/>
      <c r="M3" t="s">
        <v>8</v>
      </c>
      <c r="N3"/>
      <c r="O3" s="12" t="s">
        <v>9</v>
      </c>
      <c r="P3" s="11"/>
      <c r="Q3" s="11"/>
      <c r="R3" s="11"/>
      <c r="S3" s="11"/>
      <c r="V3" s="11"/>
    </row>
    <row r="4" spans="2:19" ht="16.5">
      <c r="B4" s="12"/>
      <c r="C4" s="12"/>
      <c r="D4" s="12" t="s">
        <v>10</v>
      </c>
      <c r="E4" s="12" t="s">
        <v>11</v>
      </c>
      <c r="F4" s="8"/>
      <c r="G4" s="8"/>
      <c r="H4" s="9" t="s">
        <v>12</v>
      </c>
      <c r="I4" s="10" t="s">
        <v>13</v>
      </c>
      <c r="J4" s="10" t="s">
        <v>14</v>
      </c>
      <c r="K4" s="9" t="s">
        <v>15</v>
      </c>
      <c r="L4" s="9" t="s">
        <v>15</v>
      </c>
      <c r="M4" t="s">
        <v>16</v>
      </c>
      <c r="N4"/>
      <c r="O4" s="12" t="s">
        <v>17</v>
      </c>
      <c r="P4" s="11"/>
      <c r="Q4" s="13"/>
      <c r="R4" s="11"/>
      <c r="S4" s="11"/>
    </row>
    <row r="5" spans="2:17" ht="16.5">
      <c r="B5" s="12"/>
      <c r="C5" s="12"/>
      <c r="D5" s="12" t="s">
        <v>18</v>
      </c>
      <c r="E5" s="12"/>
      <c r="F5" s="8"/>
      <c r="G5" s="8"/>
      <c r="H5" s="9" t="s">
        <v>19</v>
      </c>
      <c r="I5" s="10" t="s">
        <v>20</v>
      </c>
      <c r="J5" s="10" t="s">
        <v>20</v>
      </c>
      <c r="K5" s="9" t="s">
        <v>21</v>
      </c>
      <c r="L5" s="9" t="s">
        <v>14</v>
      </c>
      <c r="M5" t="s">
        <v>21</v>
      </c>
      <c r="N5" t="s">
        <v>14</v>
      </c>
      <c r="Q5" s="14"/>
    </row>
    <row r="6" spans="2:19" ht="16.5">
      <c r="B6" s="6" t="s">
        <v>22</v>
      </c>
      <c r="C6" s="6"/>
      <c r="D6" s="15"/>
      <c r="E6" s="16"/>
      <c r="F6" s="17"/>
      <c r="G6" s="17"/>
      <c r="H6" s="16"/>
      <c r="I6" s="18"/>
      <c r="J6" s="18"/>
      <c r="K6" s="19"/>
      <c r="L6" s="19"/>
      <c r="M6" s="19"/>
      <c r="N6" s="19"/>
      <c r="O6" s="6"/>
      <c r="P6" s="19"/>
      <c r="Q6" s="20"/>
      <c r="R6" s="19"/>
      <c r="S6" s="19"/>
    </row>
    <row r="7" spans="1:22" ht="16.5">
      <c r="A7">
        <v>1</v>
      </c>
      <c r="B7" t="s">
        <v>23</v>
      </c>
      <c r="D7" s="21">
        <v>40.23</v>
      </c>
      <c r="E7" s="5">
        <v>3.03</v>
      </c>
      <c r="F7" s="22">
        <f>D7*E7</f>
        <v>121.89689999999999</v>
      </c>
      <c r="G7" s="2" t="s">
        <v>24</v>
      </c>
      <c r="H7" s="5">
        <f>(J7*L7)+(I7*K7)</f>
        <v>2160</v>
      </c>
      <c r="I7" s="4">
        <v>90</v>
      </c>
      <c r="J7" s="4">
        <v>70</v>
      </c>
      <c r="K7" s="5">
        <v>24</v>
      </c>
      <c r="L7" s="5">
        <v>0</v>
      </c>
      <c r="O7" t="s">
        <v>25</v>
      </c>
      <c r="P7"/>
      <c r="Q7" s="23"/>
      <c r="V7" s="5"/>
    </row>
    <row r="8" spans="1:22" ht="16.5">
      <c r="A8">
        <v>2</v>
      </c>
      <c r="B8" t="s">
        <v>26</v>
      </c>
      <c r="D8" s="21">
        <v>10.52</v>
      </c>
      <c r="E8" s="5">
        <v>2.5300000000000002</v>
      </c>
      <c r="F8" s="22">
        <f>D8*E8</f>
        <v>26.6156</v>
      </c>
      <c r="G8" s="2" t="s">
        <v>24</v>
      </c>
      <c r="H8" s="5">
        <f>(J8*L8)+(I8*K8)</f>
        <v>900</v>
      </c>
      <c r="I8" s="4">
        <v>90</v>
      </c>
      <c r="J8" s="4">
        <v>70</v>
      </c>
      <c r="K8" s="5">
        <v>10</v>
      </c>
      <c r="L8" s="5">
        <v>0</v>
      </c>
      <c r="O8" t="s">
        <v>25</v>
      </c>
      <c r="P8"/>
      <c r="Q8" s="24"/>
      <c r="V8" s="5"/>
    </row>
    <row r="9" spans="1:22" ht="16.5">
      <c r="A9">
        <v>3</v>
      </c>
      <c r="B9" t="s">
        <v>27</v>
      </c>
      <c r="D9" s="21">
        <v>10.79</v>
      </c>
      <c r="E9" s="5">
        <v>2.5300000000000002</v>
      </c>
      <c r="F9" s="22">
        <f>D9*E9</f>
        <v>27.2987</v>
      </c>
      <c r="G9" s="2" t="s">
        <v>24</v>
      </c>
      <c r="H9" s="5">
        <f>(J9*L9)+(I9*K9)</f>
        <v>700</v>
      </c>
      <c r="I9" s="4">
        <v>90</v>
      </c>
      <c r="J9" s="4">
        <v>70</v>
      </c>
      <c r="K9" s="5">
        <v>0</v>
      </c>
      <c r="L9" s="5">
        <v>10</v>
      </c>
      <c r="O9" t="s">
        <v>25</v>
      </c>
      <c r="P9"/>
      <c r="Q9" s="25"/>
      <c r="V9" s="5"/>
    </row>
    <row r="10" spans="1:22" ht="16.5">
      <c r="A10">
        <v>4</v>
      </c>
      <c r="B10" t="s">
        <v>28</v>
      </c>
      <c r="D10" s="21">
        <v>6.53</v>
      </c>
      <c r="E10" s="5">
        <v>2.5300000000000002</v>
      </c>
      <c r="F10" s="22">
        <f>D10*E10</f>
        <v>16.5209</v>
      </c>
      <c r="G10" s="2" t="s">
        <v>24</v>
      </c>
      <c r="H10" s="5">
        <f>(J10*L10)+(I10*K10)</f>
        <v>280</v>
      </c>
      <c r="I10" s="4">
        <v>90</v>
      </c>
      <c r="J10" s="4">
        <v>70</v>
      </c>
      <c r="K10" s="5">
        <v>0</v>
      </c>
      <c r="L10" s="5">
        <v>4</v>
      </c>
      <c r="O10" t="s">
        <v>25</v>
      </c>
      <c r="P10"/>
      <c r="Q10" s="25"/>
      <c r="V10" s="5"/>
    </row>
    <row r="11" spans="1:24" ht="16.5">
      <c r="A11">
        <v>5</v>
      </c>
      <c r="B11" t="s">
        <v>29</v>
      </c>
      <c r="D11" s="21">
        <v>11.67</v>
      </c>
      <c r="E11" s="5">
        <v>2.5300000000000002</v>
      </c>
      <c r="F11" s="22">
        <f>D11*E11</f>
        <v>29.525100000000002</v>
      </c>
      <c r="G11" s="2" t="s">
        <v>24</v>
      </c>
      <c r="H11" s="5">
        <f>(J11*L11)+(I11*K11)</f>
        <v>770</v>
      </c>
      <c r="I11" s="4">
        <v>90</v>
      </c>
      <c r="J11" s="4">
        <v>70</v>
      </c>
      <c r="K11" s="5">
        <v>0</v>
      </c>
      <c r="L11" s="5">
        <v>11</v>
      </c>
      <c r="O11" t="s">
        <v>25</v>
      </c>
      <c r="P11"/>
      <c r="Q11" s="25"/>
      <c r="R11" s="26"/>
      <c r="V11" s="5"/>
      <c r="X11" s="26"/>
    </row>
    <row r="12" spans="1:22" ht="16.5">
      <c r="A12">
        <v>6</v>
      </c>
      <c r="B12" t="s">
        <v>30</v>
      </c>
      <c r="D12" s="21">
        <v>9.8</v>
      </c>
      <c r="E12" s="5">
        <v>3.03</v>
      </c>
      <c r="F12" s="22">
        <f>D12*E12</f>
        <v>29.694</v>
      </c>
      <c r="G12" s="2" t="s">
        <v>24</v>
      </c>
      <c r="H12" s="5">
        <f>(J12*L12)+(I12*K12)</f>
        <v>900</v>
      </c>
      <c r="I12" s="4">
        <v>90</v>
      </c>
      <c r="J12" s="4">
        <v>70</v>
      </c>
      <c r="K12" s="5">
        <v>10</v>
      </c>
      <c r="L12" s="5">
        <v>0</v>
      </c>
      <c r="O12" t="s">
        <v>25</v>
      </c>
      <c r="P12"/>
      <c r="Q12" s="24"/>
      <c r="V12" s="5"/>
    </row>
    <row r="13" spans="1:24" ht="16.5">
      <c r="A13">
        <v>7</v>
      </c>
      <c r="B13" t="s">
        <v>31</v>
      </c>
      <c r="D13" s="21">
        <v>22.5</v>
      </c>
      <c r="E13" s="5"/>
      <c r="F13" s="22">
        <f>17*3.8+0.7+4.18</f>
        <v>69.47999999999999</v>
      </c>
      <c r="G13" s="2" t="s">
        <v>24</v>
      </c>
      <c r="H13" s="5">
        <f>(J13*L13)+(I13*K13)</f>
        <v>1700</v>
      </c>
      <c r="I13" s="4">
        <v>90</v>
      </c>
      <c r="J13" s="4">
        <v>70</v>
      </c>
      <c r="K13" s="5">
        <v>15</v>
      </c>
      <c r="L13" s="5">
        <v>5</v>
      </c>
      <c r="O13" t="s">
        <v>32</v>
      </c>
      <c r="P13"/>
      <c r="Q13" s="25"/>
      <c r="R13" s="26"/>
      <c r="V13" s="26"/>
      <c r="X13" s="26"/>
    </row>
    <row r="14" spans="1:22" ht="16.5">
      <c r="A14">
        <v>8</v>
      </c>
      <c r="B14" t="s">
        <v>33</v>
      </c>
      <c r="D14" s="21">
        <v>3.63</v>
      </c>
      <c r="E14" s="5">
        <v>2.2</v>
      </c>
      <c r="F14" s="22">
        <f>D14*E14</f>
        <v>7.986000000000001</v>
      </c>
      <c r="G14" s="2" t="s">
        <v>24</v>
      </c>
      <c r="H14" s="5">
        <f>(J14*L14)+(I14*K14)</f>
        <v>0</v>
      </c>
      <c r="I14" s="4">
        <v>90</v>
      </c>
      <c r="J14" s="4">
        <v>70</v>
      </c>
      <c r="K14" s="5">
        <v>0</v>
      </c>
      <c r="L14" s="5">
        <v>0</v>
      </c>
      <c r="O14" t="s">
        <v>34</v>
      </c>
      <c r="P14" s="27"/>
      <c r="Q14" s="23"/>
      <c r="R14" s="28"/>
      <c r="V14" s="28"/>
    </row>
    <row r="15" spans="1:22" ht="16.5">
      <c r="A15">
        <v>9</v>
      </c>
      <c r="B15" t="s">
        <v>35</v>
      </c>
      <c r="D15" s="21">
        <v>4</v>
      </c>
      <c r="E15" s="5"/>
      <c r="F15" s="22">
        <f>5.96*1.96</f>
        <v>11.6816</v>
      </c>
      <c r="G15" s="2" t="s">
        <v>24</v>
      </c>
      <c r="H15" s="5">
        <f>(J15*L15)+(I15*K15)</f>
        <v>480</v>
      </c>
      <c r="I15" s="4">
        <v>90</v>
      </c>
      <c r="J15" s="4">
        <v>70</v>
      </c>
      <c r="K15" s="5">
        <v>3</v>
      </c>
      <c r="L15" s="5">
        <v>3</v>
      </c>
      <c r="O15" t="s">
        <v>36</v>
      </c>
      <c r="P15"/>
      <c r="Q15" s="25"/>
      <c r="R15" s="26"/>
      <c r="V15" s="26"/>
    </row>
    <row r="16" spans="1:22" ht="16.5">
      <c r="A16">
        <v>10</v>
      </c>
      <c r="B16" t="s">
        <v>37</v>
      </c>
      <c r="D16" s="21">
        <v>1.6</v>
      </c>
      <c r="E16" s="5">
        <v>2.1</v>
      </c>
      <c r="F16" s="22">
        <f>D16*E16</f>
        <v>3.3600000000000003</v>
      </c>
      <c r="G16" s="2" t="s">
        <v>24</v>
      </c>
      <c r="H16" s="5">
        <f>(J16*L16)+(I16*K16)</f>
        <v>70</v>
      </c>
      <c r="I16" s="4">
        <v>90</v>
      </c>
      <c r="J16" s="4">
        <v>70</v>
      </c>
      <c r="K16" s="5">
        <v>0</v>
      </c>
      <c r="L16" s="5">
        <v>1</v>
      </c>
      <c r="O16" t="s">
        <v>25</v>
      </c>
      <c r="P16"/>
      <c r="Q16" s="25"/>
      <c r="R16" s="26"/>
      <c r="V16" s="5"/>
    </row>
    <row r="17" spans="1:22" ht="16.5">
      <c r="A17">
        <v>11</v>
      </c>
      <c r="B17" t="s">
        <v>38</v>
      </c>
      <c r="D17" s="21">
        <v>23.55</v>
      </c>
      <c r="E17" s="5">
        <v>2.575</v>
      </c>
      <c r="F17" s="22">
        <f>D17*E17</f>
        <v>60.64125000000001</v>
      </c>
      <c r="G17" s="2" t="s">
        <v>24</v>
      </c>
      <c r="H17" s="5">
        <f>(J17*L17)+(I17*K17)</f>
        <v>420</v>
      </c>
      <c r="I17" s="4">
        <v>90</v>
      </c>
      <c r="J17" s="4">
        <v>70</v>
      </c>
      <c r="K17" s="5">
        <v>0</v>
      </c>
      <c r="L17" s="5">
        <v>6</v>
      </c>
      <c r="O17" t="s">
        <v>39</v>
      </c>
      <c r="P17"/>
      <c r="Q17" s="25"/>
      <c r="V17" s="26"/>
    </row>
    <row r="18" spans="1:22" ht="16.5">
      <c r="A18">
        <v>12</v>
      </c>
      <c r="B18" t="s">
        <v>40</v>
      </c>
      <c r="D18" s="29">
        <v>25.31</v>
      </c>
      <c r="E18" s="5"/>
      <c r="F18" s="24"/>
      <c r="H18" s="5"/>
      <c r="P18"/>
      <c r="Q18" s="25"/>
      <c r="V18" s="26"/>
    </row>
    <row r="19" spans="1:22" ht="16.5">
      <c r="A19">
        <v>13</v>
      </c>
      <c r="B19" t="s">
        <v>41</v>
      </c>
      <c r="D19" s="29">
        <v>25.31</v>
      </c>
      <c r="E19" s="5"/>
      <c r="F19" s="5"/>
      <c r="H19" s="5"/>
      <c r="P19"/>
      <c r="Q19" s="14"/>
      <c r="V19" s="26"/>
    </row>
    <row r="20" spans="1:22" ht="16.5">
      <c r="A20">
        <v>12</v>
      </c>
      <c r="B20" t="s">
        <v>42</v>
      </c>
      <c r="D20" s="29">
        <v>7</v>
      </c>
      <c r="E20" s="5"/>
      <c r="F20" s="5"/>
      <c r="H20" s="5"/>
      <c r="P20"/>
      <c r="Q20" s="14"/>
      <c r="V20" s="26"/>
    </row>
    <row r="21" spans="1:18" ht="16.5">
      <c r="A21">
        <v>12</v>
      </c>
      <c r="B21" t="s">
        <v>43</v>
      </c>
      <c r="D21" s="29">
        <v>65.7</v>
      </c>
      <c r="E21" s="5"/>
      <c r="F21" s="30"/>
      <c r="G21" s="2" t="s">
        <v>24</v>
      </c>
      <c r="H21" s="5"/>
      <c r="P21" s="27"/>
      <c r="Q21" s="23"/>
      <c r="R21" s="28"/>
    </row>
    <row r="22" spans="2:22" ht="16.5">
      <c r="B22" s="6" t="s">
        <v>44</v>
      </c>
      <c r="C22" s="6"/>
      <c r="D22" s="31">
        <f>SUM(D7:D19)+(D21+D20)*0.3</f>
        <v>217.24999999999997</v>
      </c>
      <c r="E22" s="32"/>
      <c r="F22" s="2">
        <f>SUM(F6:F21)</f>
        <v>404.7000499999999</v>
      </c>
      <c r="G22" s="33"/>
      <c r="H22" s="32"/>
      <c r="I22" s="34"/>
      <c r="J22" s="34"/>
      <c r="K22" s="35"/>
      <c r="L22" s="35"/>
      <c r="M22" s="35"/>
      <c r="N22" s="35"/>
      <c r="O22" s="36"/>
      <c r="P22" s="35"/>
      <c r="Q22" s="37"/>
      <c r="R22" s="35"/>
      <c r="S22" s="35"/>
      <c r="V22" s="5"/>
    </row>
    <row r="23" spans="2:16" ht="16.5">
      <c r="B23" s="31" t="s">
        <v>45</v>
      </c>
      <c r="D23"/>
      <c r="E23" s="3"/>
      <c r="P23"/>
    </row>
    <row r="24" spans="2:18" ht="16.5">
      <c r="B24" t="s">
        <v>46</v>
      </c>
      <c r="D24" s="38">
        <f>D7+D8+D12</f>
        <v>60.55</v>
      </c>
      <c r="E24" s="3"/>
      <c r="P24"/>
      <c r="Q24"/>
      <c r="R24"/>
    </row>
    <row r="25" spans="2:18" ht="16.5">
      <c r="B25" t="s">
        <v>47</v>
      </c>
      <c r="D25" s="38">
        <f>D22-D24-D26</f>
        <v>84.26999999999998</v>
      </c>
      <c r="E25" s="3"/>
      <c r="P25"/>
      <c r="Q25"/>
      <c r="R25"/>
    </row>
    <row r="26" spans="2:16" ht="16.5">
      <c r="B26" t="s">
        <v>48</v>
      </c>
      <c r="D26" s="38">
        <f>(D21+D20)*0.3+D18+D19</f>
        <v>72.43</v>
      </c>
      <c r="E26" s="3"/>
      <c r="P26" s="27"/>
    </row>
    <row r="27" spans="2:18" ht="16.5">
      <c r="B27" t="s">
        <v>49</v>
      </c>
      <c r="D27" s="38">
        <f>D24+D25</f>
        <v>144.82</v>
      </c>
      <c r="E27" s="3"/>
      <c r="P27" s="27"/>
      <c r="Q27" s="26"/>
      <c r="R27" s="26"/>
    </row>
    <row r="28" spans="2:18" ht="16.5">
      <c r="B28" t="s">
        <v>50</v>
      </c>
      <c r="D28" s="38"/>
      <c r="E28" s="3"/>
      <c r="P28" s="27"/>
      <c r="Q28" s="26"/>
      <c r="R28" s="26"/>
    </row>
    <row r="29" spans="4:17" ht="16.5">
      <c r="D29" s="38"/>
      <c r="E29" s="3"/>
      <c r="P29" s="27"/>
      <c r="Q29"/>
    </row>
    <row r="30" spans="4:17" ht="16.5">
      <c r="D30" s="38"/>
      <c r="E30" s="3"/>
      <c r="P30" s="27"/>
      <c r="Q30" s="27"/>
    </row>
    <row r="31" spans="4:17" ht="16.5">
      <c r="D31" s="38"/>
      <c r="E31" s="3"/>
      <c r="P31" s="27"/>
      <c r="Q31" s="27"/>
    </row>
    <row r="32" spans="2:19" ht="16.5">
      <c r="B32" s="6" t="s">
        <v>51</v>
      </c>
      <c r="C32" s="6"/>
      <c r="D32" s="15"/>
      <c r="E32" s="16"/>
      <c r="F32" s="17"/>
      <c r="G32" s="17"/>
      <c r="H32" s="16"/>
      <c r="I32" s="18"/>
      <c r="J32" s="18"/>
      <c r="K32" s="19"/>
      <c r="L32" s="19"/>
      <c r="M32" s="19"/>
      <c r="N32" s="19"/>
      <c r="O32" s="6"/>
      <c r="P32" s="19"/>
      <c r="Q32" s="20"/>
      <c r="R32" s="19"/>
      <c r="S32" s="19"/>
    </row>
    <row r="33" spans="1:22" ht="16.5">
      <c r="A33">
        <v>1</v>
      </c>
      <c r="B33" t="s">
        <v>52</v>
      </c>
      <c r="D33" s="21">
        <v>14.5</v>
      </c>
      <c r="E33" s="5"/>
      <c r="F33" s="22">
        <f>55.3+2.6+0.75</f>
        <v>58.65</v>
      </c>
      <c r="G33" s="2" t="s">
        <v>24</v>
      </c>
      <c r="H33" s="5">
        <f>(J33*L33)+(I33*K33)</f>
        <v>990</v>
      </c>
      <c r="I33" s="4">
        <v>90</v>
      </c>
      <c r="J33" s="4">
        <v>70</v>
      </c>
      <c r="K33" s="5">
        <v>11</v>
      </c>
      <c r="L33" s="5">
        <v>0</v>
      </c>
      <c r="O33" t="s">
        <v>25</v>
      </c>
      <c r="P33"/>
      <c r="Q33" s="24"/>
      <c r="V33" s="5"/>
    </row>
    <row r="34" spans="1:24" ht="16.5">
      <c r="A34">
        <v>2</v>
      </c>
      <c r="B34" t="s">
        <v>53</v>
      </c>
      <c r="D34" s="21">
        <f>12.69+5.8</f>
        <v>18.49</v>
      </c>
      <c r="E34" s="5"/>
      <c r="F34" s="22">
        <f>11.4*3.01+3.8</f>
        <v>38.114</v>
      </c>
      <c r="G34" s="2" t="s">
        <v>24</v>
      </c>
      <c r="H34" s="5">
        <f>(J34*L34)+(I34*K34)</f>
        <v>720</v>
      </c>
      <c r="I34" s="4">
        <v>90</v>
      </c>
      <c r="J34" s="4">
        <v>70</v>
      </c>
      <c r="K34" s="5">
        <v>8</v>
      </c>
      <c r="L34" s="5">
        <v>0</v>
      </c>
      <c r="O34" t="s">
        <v>25</v>
      </c>
      <c r="P34"/>
      <c r="Q34" s="24"/>
      <c r="V34" s="5"/>
      <c r="X34" s="27"/>
    </row>
    <row r="35" spans="1:24" ht="16.5">
      <c r="A35">
        <v>3</v>
      </c>
      <c r="B35" t="s">
        <v>54</v>
      </c>
      <c r="D35" s="21">
        <f>12.69+5.8</f>
        <v>18.49</v>
      </c>
      <c r="E35" s="5"/>
      <c r="F35" s="22">
        <f>F34</f>
        <v>38.114</v>
      </c>
      <c r="G35" s="2" t="s">
        <v>24</v>
      </c>
      <c r="H35" s="5">
        <f>(J35*L35)+(I35*K35)</f>
        <v>720</v>
      </c>
      <c r="I35" s="4">
        <v>90</v>
      </c>
      <c r="J35" s="4">
        <v>70</v>
      </c>
      <c r="K35" s="5">
        <v>8</v>
      </c>
      <c r="L35" s="5">
        <v>0</v>
      </c>
      <c r="O35" t="s">
        <v>25</v>
      </c>
      <c r="P35"/>
      <c r="Q35" s="24"/>
      <c r="V35" s="5"/>
      <c r="X35" s="27"/>
    </row>
    <row r="36" spans="1:22" ht="16.5">
      <c r="A36">
        <v>4</v>
      </c>
      <c r="B36" t="s">
        <v>55</v>
      </c>
      <c r="D36" s="21">
        <v>13.57</v>
      </c>
      <c r="E36" s="5"/>
      <c r="F36" s="22">
        <f>45.4+2.6+0.9</f>
        <v>48.9</v>
      </c>
      <c r="G36" s="2" t="s">
        <v>24</v>
      </c>
      <c r="H36" s="5">
        <f>(J36*L36)+(I36*K36)</f>
        <v>990</v>
      </c>
      <c r="I36" s="4">
        <v>90</v>
      </c>
      <c r="J36" s="4">
        <v>70</v>
      </c>
      <c r="K36" s="5">
        <v>11</v>
      </c>
      <c r="L36" s="5">
        <v>0</v>
      </c>
      <c r="O36" t="s">
        <v>25</v>
      </c>
      <c r="P36"/>
      <c r="Q36" s="24"/>
      <c r="V36" s="5"/>
    </row>
    <row r="37" spans="1:22" ht="16.5">
      <c r="A37">
        <v>5</v>
      </c>
      <c r="B37" t="s">
        <v>56</v>
      </c>
      <c r="D37" s="21">
        <v>8.2</v>
      </c>
      <c r="E37" s="5"/>
      <c r="F37" s="22">
        <f>2.36*2.45+2.78*5.3+5.66</f>
        <v>26.176</v>
      </c>
      <c r="G37" s="2" t="s">
        <v>24</v>
      </c>
      <c r="H37" s="5">
        <f>(J37*L37)+(I37*K37)</f>
        <v>960</v>
      </c>
      <c r="I37" s="4">
        <v>90</v>
      </c>
      <c r="J37" s="4">
        <v>70</v>
      </c>
      <c r="K37" s="5">
        <v>6</v>
      </c>
      <c r="L37" s="5">
        <v>6</v>
      </c>
      <c r="O37" t="s">
        <v>36</v>
      </c>
      <c r="P37"/>
      <c r="Q37" s="25"/>
      <c r="R37" s="26"/>
      <c r="V37" s="26"/>
    </row>
    <row r="38" spans="1:22" ht="16.5">
      <c r="A38">
        <v>6</v>
      </c>
      <c r="B38" t="s">
        <v>57</v>
      </c>
      <c r="D38" s="21">
        <v>14.5</v>
      </c>
      <c r="E38" s="5"/>
      <c r="F38" s="22">
        <f>14.5*(1.76+1.024/2)+7.86</f>
        <v>40.804</v>
      </c>
      <c r="G38" s="2" t="s">
        <v>24</v>
      </c>
      <c r="H38" s="5">
        <f>(J38*L38)+(I38*K38)</f>
        <v>0</v>
      </c>
      <c r="I38" s="4">
        <v>90</v>
      </c>
      <c r="J38" s="4">
        <v>70</v>
      </c>
      <c r="K38" s="5">
        <v>0</v>
      </c>
      <c r="L38" s="5">
        <v>0</v>
      </c>
      <c r="O38" t="s">
        <v>25</v>
      </c>
      <c r="P38"/>
      <c r="Q38" s="23"/>
      <c r="V38" s="5"/>
    </row>
    <row r="39" spans="1:22" ht="16.5">
      <c r="A39">
        <v>7</v>
      </c>
      <c r="B39" t="s">
        <v>58</v>
      </c>
      <c r="D39" s="21">
        <v>5.25</v>
      </c>
      <c r="E39" s="5"/>
      <c r="F39" s="22">
        <f>17.3+4.66</f>
        <v>21.96</v>
      </c>
      <c r="G39" s="2" t="s">
        <v>24</v>
      </c>
      <c r="H39" s="5">
        <f>(J39*L39)+(I39*K39)</f>
        <v>180</v>
      </c>
      <c r="I39" s="4">
        <v>90</v>
      </c>
      <c r="J39" s="4">
        <v>70</v>
      </c>
      <c r="K39" s="5">
        <v>2</v>
      </c>
      <c r="L39" s="5">
        <v>0</v>
      </c>
      <c r="O39" t="s">
        <v>59</v>
      </c>
      <c r="P39"/>
      <c r="Q39" s="24"/>
      <c r="V39" s="5"/>
    </row>
    <row r="40" spans="1:22" ht="16.5">
      <c r="A40">
        <v>8</v>
      </c>
      <c r="B40" t="s">
        <v>60</v>
      </c>
      <c r="D40" s="21">
        <v>3.4</v>
      </c>
      <c r="E40" s="5"/>
      <c r="F40" s="22">
        <f>10.6+1</f>
        <v>11.6</v>
      </c>
      <c r="G40" s="2" t="s">
        <v>24</v>
      </c>
      <c r="H40" s="5">
        <f>(J40*L40)+(I40*K40)</f>
        <v>0</v>
      </c>
      <c r="I40" s="4">
        <v>90</v>
      </c>
      <c r="J40" s="4">
        <v>70</v>
      </c>
      <c r="K40" s="5">
        <v>0</v>
      </c>
      <c r="L40" s="5">
        <v>0</v>
      </c>
      <c r="O40" t="s">
        <v>59</v>
      </c>
      <c r="P40"/>
      <c r="Q40" s="24"/>
      <c r="V40" s="5"/>
    </row>
    <row r="41" spans="1:22" ht="16.5">
      <c r="A41">
        <v>9</v>
      </c>
      <c r="B41" t="s">
        <v>61</v>
      </c>
      <c r="D41" s="21">
        <v>25.66</v>
      </c>
      <c r="E41" s="5"/>
      <c r="F41" s="22">
        <f>8.83*6.2-2.8-1+13.64</f>
        <v>64.58600000000001</v>
      </c>
      <c r="G41" s="2" t="s">
        <v>24</v>
      </c>
      <c r="H41" s="5">
        <f>(J41*L41)+(I41*K41)</f>
        <v>1400</v>
      </c>
      <c r="I41" s="4">
        <v>90</v>
      </c>
      <c r="J41" s="4">
        <v>70</v>
      </c>
      <c r="K41" s="5">
        <v>0</v>
      </c>
      <c r="L41" s="5">
        <v>20</v>
      </c>
      <c r="O41" t="s">
        <v>59</v>
      </c>
      <c r="P41"/>
      <c r="Q41" s="25"/>
      <c r="R41" s="26"/>
      <c r="V41" s="26"/>
    </row>
    <row r="42" spans="1:22" ht="16.5">
      <c r="A42">
        <v>10</v>
      </c>
      <c r="B42" t="s">
        <v>28</v>
      </c>
      <c r="D42" s="21">
        <v>15.64</v>
      </c>
      <c r="E42" s="5"/>
      <c r="F42" s="22">
        <f>4.45*3.8+8.36</f>
        <v>25.27</v>
      </c>
      <c r="G42" s="2" t="str">
        <f>G41</f>
        <v>м3</v>
      </c>
      <c r="H42" s="5">
        <f>(J42*L42+I42*K42)</f>
        <v>180</v>
      </c>
      <c r="I42" s="4">
        <v>90</v>
      </c>
      <c r="J42" s="4">
        <v>70</v>
      </c>
      <c r="K42" s="5">
        <v>2</v>
      </c>
      <c r="L42" s="5">
        <v>0</v>
      </c>
      <c r="O42" t="s">
        <v>62</v>
      </c>
      <c r="P42"/>
      <c r="Q42" s="24"/>
      <c r="V42" s="5"/>
    </row>
    <row r="43" spans="4:22" ht="16.5">
      <c r="D43" s="2"/>
      <c r="E43" s="5"/>
      <c r="H43" s="5"/>
      <c r="V43" s="5"/>
    </row>
    <row r="44" spans="2:22" ht="16.5">
      <c r="B44" s="6" t="s">
        <v>63</v>
      </c>
      <c r="C44" s="6"/>
      <c r="D44" s="31">
        <f>SUM(D33:D42)</f>
        <v>137.7</v>
      </c>
      <c r="E44" s="32"/>
      <c r="F44" s="33">
        <f>SUM(F33:F42)</f>
        <v>374.174</v>
      </c>
      <c r="G44" s="33" t="str">
        <f>G42</f>
        <v>м3</v>
      </c>
      <c r="H44" s="32"/>
      <c r="I44" s="34"/>
      <c r="J44" s="34"/>
      <c r="K44" s="35"/>
      <c r="L44" s="35"/>
      <c r="M44" s="35"/>
      <c r="N44" s="35"/>
      <c r="O44" s="36"/>
      <c r="P44" s="35"/>
      <c r="Q44" s="35"/>
      <c r="R44" s="35"/>
      <c r="S44" s="35"/>
      <c r="V44" s="5"/>
    </row>
    <row r="45" spans="2:5" ht="16.5">
      <c r="B45" s="31" t="s">
        <v>45</v>
      </c>
      <c r="D45"/>
      <c r="E45" s="3"/>
    </row>
    <row r="46" spans="2:18" ht="16.5">
      <c r="B46" t="s">
        <v>46</v>
      </c>
      <c r="D46" s="38">
        <f>D33+D34+D35+D36</f>
        <v>65.04999999999998</v>
      </c>
      <c r="E46" s="3"/>
      <c r="P46"/>
      <c r="Q46"/>
      <c r="R46"/>
    </row>
    <row r="47" spans="2:18" ht="16.5">
      <c r="B47" t="s">
        <v>47</v>
      </c>
      <c r="D47" s="38">
        <f>D44-D46</f>
        <v>72.65</v>
      </c>
      <c r="E47" s="3"/>
      <c r="P47"/>
      <c r="Q47"/>
      <c r="R47"/>
    </row>
    <row r="48" spans="2:5" ht="16.5">
      <c r="B48" t="s">
        <v>48</v>
      </c>
      <c r="D48" s="38">
        <v>0</v>
      </c>
      <c r="E48" s="3"/>
    </row>
    <row r="49" spans="4:18" ht="16.5">
      <c r="D49" s="38"/>
      <c r="E49" s="3"/>
      <c r="Q49" s="26"/>
      <c r="R49" s="26"/>
    </row>
    <row r="50" spans="4:18" ht="16.5">
      <c r="D50" s="38"/>
      <c r="E50" s="3"/>
      <c r="Q50" s="26"/>
      <c r="R50" s="26"/>
    </row>
    <row r="51" spans="4:5" ht="16.5">
      <c r="D51" s="38"/>
      <c r="E51" s="3"/>
    </row>
    <row r="52" spans="4:17" ht="16.5">
      <c r="D52" s="38"/>
      <c r="E52" s="3"/>
      <c r="Q52" s="27"/>
    </row>
    <row r="53" spans="4:17" ht="16.5">
      <c r="D53" s="38"/>
      <c r="E53" s="3"/>
      <c r="Q53" s="27"/>
    </row>
    <row r="54" spans="2:19" ht="16.5">
      <c r="B54" s="6" t="s">
        <v>64</v>
      </c>
      <c r="C54" s="6"/>
      <c r="D54" s="15"/>
      <c r="E54" s="15"/>
      <c r="F54" s="33">
        <f>F22+F44</f>
        <v>778.8740499999999</v>
      </c>
      <c r="G54" s="33" t="s">
        <v>24</v>
      </c>
      <c r="H54" s="15"/>
      <c r="I54" s="39"/>
      <c r="J54" s="39"/>
      <c r="K54" s="34">
        <v>100</v>
      </c>
      <c r="L54" s="34">
        <v>70</v>
      </c>
      <c r="M54" s="34"/>
      <c r="N54" s="34"/>
      <c r="O54" s="15"/>
      <c r="P54" s="36"/>
      <c r="Q54" s="36"/>
      <c r="R54" s="36"/>
      <c r="S54" s="36"/>
    </row>
    <row r="55" spans="2:14" ht="16.5">
      <c r="B55" s="31" t="s">
        <v>45</v>
      </c>
      <c r="D55"/>
      <c r="E55" s="5"/>
      <c r="F55" s="40"/>
      <c r="G55" s="40"/>
      <c r="H55" s="5">
        <f>SUM(H5:H54)</f>
        <v>14520</v>
      </c>
      <c r="I55" s="5" t="s">
        <v>65</v>
      </c>
      <c r="K55" s="41">
        <f>SUM(K5:K52)</f>
        <v>110</v>
      </c>
      <c r="L55" s="41">
        <f>SUM(L5:L52)</f>
        <v>66</v>
      </c>
      <c r="M55" s="41"/>
      <c r="N55" s="41"/>
    </row>
    <row r="56" spans="2:12" ht="16.5">
      <c r="B56" t="s">
        <v>46</v>
      </c>
      <c r="D56" s="42">
        <f>D24+D46</f>
        <v>125.59999999999998</v>
      </c>
      <c r="E56" s="3"/>
      <c r="I56" s="5" t="s">
        <v>66</v>
      </c>
      <c r="K56" s="5" t="s">
        <v>67</v>
      </c>
      <c r="L56" s="5" t="s">
        <v>68</v>
      </c>
    </row>
    <row r="57" spans="2:19" ht="16.5">
      <c r="B57" t="s">
        <v>47</v>
      </c>
      <c r="D57" s="42">
        <f>D25+D47</f>
        <v>156.92</v>
      </c>
      <c r="E57"/>
      <c r="K57"/>
      <c r="L57"/>
      <c r="M57"/>
      <c r="N57"/>
      <c r="P57"/>
      <c r="Q57"/>
      <c r="R57"/>
      <c r="S57"/>
    </row>
    <row r="58" spans="2:19" ht="16.5">
      <c r="B58" t="s">
        <v>48</v>
      </c>
      <c r="D58" s="43">
        <f>D26+D48</f>
        <v>72.43</v>
      </c>
      <c r="E58" s="44"/>
      <c r="H58"/>
      <c r="K58"/>
      <c r="L58"/>
      <c r="M58"/>
      <c r="N58"/>
      <c r="P58" s="44"/>
      <c r="Q58" s="44"/>
      <c r="R58"/>
      <c r="S58"/>
    </row>
    <row r="59" spans="2:19" ht="16.5">
      <c r="B59" s="6" t="s">
        <v>69</v>
      </c>
      <c r="D59" s="38">
        <f>SUM(D56:D58)</f>
        <v>354.95</v>
      </c>
      <c r="E59" s="44"/>
      <c r="H59"/>
      <c r="K59"/>
      <c r="L59"/>
      <c r="M59"/>
      <c r="N59"/>
      <c r="P59" s="44"/>
      <c r="Q59" s="44"/>
      <c r="R59"/>
      <c r="S59"/>
    </row>
    <row r="60" spans="2:19" ht="16.5">
      <c r="B60" s="45" t="s">
        <v>70</v>
      </c>
      <c r="D60"/>
      <c r="E60"/>
      <c r="H60" s="46">
        <f>D59-D58</f>
        <v>282.52</v>
      </c>
      <c r="I60" s="46" t="s">
        <v>15</v>
      </c>
      <c r="K60"/>
      <c r="L60"/>
      <c r="M60"/>
      <c r="N60"/>
      <c r="P60"/>
      <c r="Q60"/>
      <c r="R60"/>
      <c r="S60"/>
    </row>
    <row r="61" spans="4:19" ht="16.5">
      <c r="D61" s="47"/>
      <c r="E61" s="47"/>
      <c r="H61"/>
      <c r="K61"/>
      <c r="L61"/>
      <c r="M61"/>
      <c r="N61"/>
      <c r="P61"/>
      <c r="Q61"/>
      <c r="R61"/>
      <c r="S61"/>
    </row>
    <row r="62" spans="2:11" ht="16.5">
      <c r="B62" s="48" t="s">
        <v>71</v>
      </c>
      <c r="D62" s="47" t="s">
        <v>72</v>
      </c>
      <c r="E62" s="47"/>
      <c r="F62" s="48" t="s">
        <v>73</v>
      </c>
      <c r="G62" s="48"/>
      <c r="H62" t="s">
        <v>74</v>
      </c>
      <c r="I62"/>
      <c r="J62" s="48" t="s">
        <v>73</v>
      </c>
      <c r="K62" s="48"/>
    </row>
    <row r="63" spans="2:11" ht="16.5">
      <c r="B63" s="48" t="s">
        <v>75</v>
      </c>
      <c r="D63">
        <v>90</v>
      </c>
      <c r="E63" t="s">
        <v>20</v>
      </c>
      <c r="F63" s="48">
        <v>150</v>
      </c>
      <c r="G63" s="48" t="s">
        <v>76</v>
      </c>
      <c r="H63">
        <v>70</v>
      </c>
      <c r="I63" t="s">
        <v>20</v>
      </c>
      <c r="J63" s="48">
        <v>150</v>
      </c>
      <c r="K63" s="48" t="s">
        <v>76</v>
      </c>
    </row>
    <row r="64" spans="4:11" ht="16.5">
      <c r="D64">
        <v>120</v>
      </c>
      <c r="E64" t="s">
        <v>20</v>
      </c>
      <c r="F64" s="48">
        <v>100</v>
      </c>
      <c r="G64" s="48" t="s">
        <v>76</v>
      </c>
      <c r="H64">
        <v>50</v>
      </c>
      <c r="I64" t="s">
        <v>20</v>
      </c>
      <c r="J64" s="48">
        <v>200</v>
      </c>
      <c r="K64" s="48" t="s">
        <v>76</v>
      </c>
    </row>
    <row r="65" spans="4:11" ht="16.5">
      <c r="D65">
        <v>70</v>
      </c>
      <c r="E65" t="s">
        <v>20</v>
      </c>
      <c r="F65" s="48">
        <v>200</v>
      </c>
      <c r="G65" s="48" t="s">
        <v>76</v>
      </c>
      <c r="H65">
        <v>90</v>
      </c>
      <c r="I65" t="s">
        <v>20</v>
      </c>
      <c r="J65" s="48">
        <v>100</v>
      </c>
      <c r="K65" s="48" t="s">
        <v>76</v>
      </c>
    </row>
    <row r="66" spans="6:11" ht="16.5">
      <c r="F66" s="3"/>
      <c r="G66"/>
      <c r="H66">
        <v>35</v>
      </c>
      <c r="I66" t="s">
        <v>20</v>
      </c>
      <c r="J66" s="48">
        <v>300</v>
      </c>
      <c r="K66" s="48" t="s">
        <v>76</v>
      </c>
    </row>
    <row r="68" spans="2:6" ht="16.5">
      <c r="B68" t="s">
        <v>77</v>
      </c>
      <c r="D68" s="2" t="s">
        <v>78</v>
      </c>
      <c r="F68" s="2" t="s">
        <v>79</v>
      </c>
    </row>
    <row r="69" spans="2:6" ht="16.5">
      <c r="B69" t="s">
        <v>80</v>
      </c>
      <c r="D69" s="1" t="s">
        <v>81</v>
      </c>
      <c r="F69" s="2" t="s">
        <v>82</v>
      </c>
    </row>
    <row r="70" ht="16.5">
      <c r="D70" s="1" t="s">
        <v>83</v>
      </c>
    </row>
    <row r="72" spans="2:6" ht="16.5">
      <c r="B72" t="s">
        <v>84</v>
      </c>
      <c r="D72" s="2" t="s">
        <v>78</v>
      </c>
      <c r="F72" s="2" t="s">
        <v>79</v>
      </c>
    </row>
    <row r="73" spans="2:6" ht="16.5">
      <c r="B73" t="s">
        <v>80</v>
      </c>
      <c r="D73" s="2" t="s">
        <v>85</v>
      </c>
      <c r="F73" s="2" t="s">
        <v>86</v>
      </c>
    </row>
  </sheetData>
  <mergeCells count="3">
    <mergeCell ref="P3:S3"/>
    <mergeCell ref="P58:Q58"/>
    <mergeCell ref="P59:Q59"/>
  </mergeCells>
  <printOptions/>
  <pageMargins left="0.8659722222222223" right="0.5513888888888889" top="0.39375" bottom="0.5326388888888889" header="0.5118055555555555" footer="0.39375"/>
  <pageSetup firstPageNumber="1" useFirstPageNumber="1" horizontalDpi="300" verticalDpi="300" orientation="portrait" paperSize="9"/>
  <headerFooter alignWithMargins="0">
    <oddFooter>&amp;C&amp;"Arial,Обычный"&amp;10Страница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workbookViewId="0" topLeftCell="A1">
      <selection activeCell="H9" sqref="A1:IV65536"/>
    </sheetView>
  </sheetViews>
  <sheetFormatPr defaultColWidth="9.77734375" defaultRowHeight="16.5"/>
  <cols>
    <col min="1" max="1" width="4.99609375" style="0" customWidth="1"/>
    <col min="2" max="2" width="8.77734375" style="0" customWidth="1"/>
    <col min="8" max="8" width="7.77734375" style="0" customWidth="1"/>
    <col min="9" max="9" width="2.77734375" style="0" customWidth="1"/>
    <col min="10" max="10" width="5.88671875" style="0" customWidth="1"/>
    <col min="11" max="11" width="2.99609375" style="0" customWidth="1"/>
    <col min="12" max="12" width="4.88671875" style="0" customWidth="1"/>
    <col min="13" max="13" width="2.88671875" style="0" customWidth="1"/>
    <col min="14" max="14" width="5.21484375" style="0" customWidth="1"/>
    <col min="15" max="15" width="3.10546875" style="0" customWidth="1"/>
    <col min="16" max="16" width="3.5546875" style="0" customWidth="1"/>
  </cols>
  <sheetData>
    <row r="1" ht="16.5">
      <c r="A1" s="46" t="s">
        <v>87</v>
      </c>
    </row>
    <row r="3" ht="16.5">
      <c r="A3" t="s">
        <v>88</v>
      </c>
    </row>
    <row r="4" spans="1:7" ht="16.5">
      <c r="A4" t="s">
        <v>89</v>
      </c>
      <c r="B4" s="49">
        <v>1.1</v>
      </c>
      <c r="C4" t="s">
        <v>90</v>
      </c>
      <c r="E4" t="s">
        <v>91</v>
      </c>
      <c r="F4" s="49">
        <f>1/B4</f>
        <v>0.9090909090909091</v>
      </c>
      <c r="G4" t="s">
        <v>92</v>
      </c>
    </row>
    <row r="5" spans="8:15" ht="16.5">
      <c r="H5" s="50" t="s">
        <v>93</v>
      </c>
      <c r="I5" s="50"/>
      <c r="J5" s="51" t="s">
        <v>94</v>
      </c>
      <c r="K5" s="51"/>
      <c r="L5" s="52" t="s">
        <v>95</v>
      </c>
      <c r="M5" s="52"/>
      <c r="N5" s="53" t="s">
        <v>96</v>
      </c>
      <c r="O5" s="53"/>
    </row>
    <row r="6" spans="1:16" ht="16.5">
      <c r="A6" s="54" t="s">
        <v>97</v>
      </c>
      <c r="B6" s="36" t="s">
        <v>98</v>
      </c>
      <c r="C6" s="36" t="s">
        <v>99</v>
      </c>
      <c r="D6" s="36" t="s">
        <v>100</v>
      </c>
      <c r="E6" s="36" t="s">
        <v>101</v>
      </c>
      <c r="F6" s="55" t="s">
        <v>102</v>
      </c>
      <c r="G6" s="55"/>
      <c r="H6" s="56">
        <v>180</v>
      </c>
      <c r="I6" s="56"/>
      <c r="J6" s="56">
        <v>270</v>
      </c>
      <c r="K6" s="56"/>
      <c r="L6" s="56">
        <v>90</v>
      </c>
      <c r="M6" s="56"/>
      <c r="N6" s="56">
        <v>0</v>
      </c>
      <c r="O6" s="56"/>
      <c r="P6" s="57"/>
    </row>
    <row r="7" spans="1:16" ht="16.5">
      <c r="A7" s="58"/>
      <c r="B7" s="43" t="s">
        <v>103</v>
      </c>
      <c r="C7" s="43" t="s">
        <v>103</v>
      </c>
      <c r="D7" s="43" t="s">
        <v>104</v>
      </c>
      <c r="E7" s="43" t="s">
        <v>105</v>
      </c>
      <c r="F7" s="43"/>
      <c r="G7" s="43"/>
      <c r="H7" s="43" t="s">
        <v>106</v>
      </c>
      <c r="I7" s="43"/>
      <c r="J7" s="43" t="s">
        <v>107</v>
      </c>
      <c r="K7" s="43"/>
      <c r="L7" s="43" t="s">
        <v>108</v>
      </c>
      <c r="M7" s="43"/>
      <c r="N7" s="43" t="s">
        <v>109</v>
      </c>
      <c r="O7" s="43"/>
      <c r="P7" s="59" t="s">
        <v>110</v>
      </c>
    </row>
    <row r="8" spans="1:16" ht="16.5">
      <c r="A8" s="60">
        <v>1</v>
      </c>
      <c r="B8" s="61">
        <v>2870</v>
      </c>
      <c r="C8" s="61">
        <v>2630</v>
      </c>
      <c r="D8" s="60">
        <f>(B8*C8)/1000000</f>
        <v>7.5481</v>
      </c>
      <c r="E8" s="61">
        <v>4</v>
      </c>
      <c r="F8" s="60">
        <f>D8*E8</f>
        <v>30.1924</v>
      </c>
      <c r="G8" s="60" t="s">
        <v>111</v>
      </c>
      <c r="H8" s="61">
        <f>F8</f>
        <v>30.1924</v>
      </c>
      <c r="I8" s="62"/>
      <c r="J8" s="61"/>
      <c r="K8" s="62"/>
      <c r="L8" s="62"/>
      <c r="M8" s="61"/>
      <c r="N8" s="61"/>
      <c r="O8" s="61"/>
      <c r="P8" s="61"/>
    </row>
    <row r="9" spans="1:13" ht="16.5">
      <c r="A9" s="46">
        <v>2</v>
      </c>
      <c r="B9">
        <v>1400</v>
      </c>
      <c r="C9">
        <v>1600</v>
      </c>
      <c r="D9" s="46">
        <f>(B9*C9)/1000000</f>
        <v>2.24</v>
      </c>
      <c r="E9">
        <v>2</v>
      </c>
      <c r="F9" s="46">
        <f>D9*E9</f>
        <v>4.48</v>
      </c>
      <c r="G9" s="46" t="s">
        <v>111</v>
      </c>
      <c r="H9" s="63"/>
      <c r="I9" s="63"/>
      <c r="J9" s="63"/>
      <c r="K9" s="63"/>
      <c r="L9" s="63">
        <f>F9</f>
        <v>4.48</v>
      </c>
      <c r="M9" s="63"/>
    </row>
    <row r="10" spans="1:16" ht="16.5">
      <c r="A10" s="60">
        <v>3</v>
      </c>
      <c r="B10" s="61">
        <v>1400</v>
      </c>
      <c r="C10" s="61">
        <v>2200</v>
      </c>
      <c r="D10" s="61">
        <f>B10*C10/1000000</f>
        <v>3.08</v>
      </c>
      <c r="E10" s="61">
        <v>1</v>
      </c>
      <c r="F10" s="61">
        <f>D10*E10</f>
        <v>3.08</v>
      </c>
      <c r="G10" s="61" t="s">
        <v>111</v>
      </c>
      <c r="H10" s="61"/>
      <c r="I10" s="61"/>
      <c r="J10" s="61">
        <f>F10</f>
        <v>3.08</v>
      </c>
      <c r="K10" s="61"/>
      <c r="L10" s="61"/>
      <c r="M10" s="61"/>
      <c r="N10" s="61"/>
      <c r="O10" s="61"/>
      <c r="P10" s="61"/>
    </row>
    <row r="11" spans="1:8" ht="16.5">
      <c r="A11">
        <v>4</v>
      </c>
      <c r="B11">
        <v>1880</v>
      </c>
      <c r="C11">
        <v>1700</v>
      </c>
      <c r="D11" s="42">
        <f>B11*C11/1000000</f>
        <v>3.196</v>
      </c>
      <c r="E11">
        <v>4</v>
      </c>
      <c r="F11" s="42">
        <f>D11*E11</f>
        <v>12.784</v>
      </c>
      <c r="G11" t="s">
        <v>111</v>
      </c>
      <c r="H11" s="42">
        <f>F11</f>
        <v>12.784</v>
      </c>
    </row>
    <row r="12" spans="1:16" ht="16.5">
      <c r="A12" s="61">
        <v>5</v>
      </c>
      <c r="B12" s="61">
        <v>1400</v>
      </c>
      <c r="C12" s="61">
        <v>1250</v>
      </c>
      <c r="D12" s="61">
        <f>B12*C12/1000000</f>
        <v>1.75</v>
      </c>
      <c r="E12" s="61">
        <v>1</v>
      </c>
      <c r="F12" s="61">
        <f>D12*E12</f>
        <v>1.75</v>
      </c>
      <c r="G12" s="61" t="s">
        <v>111</v>
      </c>
      <c r="H12" s="61"/>
      <c r="I12" s="61"/>
      <c r="J12" s="61">
        <f>F12</f>
        <v>1.75</v>
      </c>
      <c r="K12" s="61"/>
      <c r="L12" s="61"/>
      <c r="M12" s="61"/>
      <c r="N12" s="61"/>
      <c r="O12" s="61"/>
      <c r="P12" s="61"/>
    </row>
    <row r="13" spans="1:10" ht="16.5">
      <c r="A13">
        <v>6</v>
      </c>
      <c r="B13">
        <v>700</v>
      </c>
      <c r="C13">
        <v>1400</v>
      </c>
      <c r="D13" s="42">
        <f>B13*C13/1000000</f>
        <v>0.98</v>
      </c>
      <c r="E13">
        <v>1</v>
      </c>
      <c r="F13" s="42">
        <f>D13*E13</f>
        <v>0.98</v>
      </c>
      <c r="G13" t="s">
        <v>111</v>
      </c>
      <c r="J13" s="42">
        <f>F13</f>
        <v>0.98</v>
      </c>
    </row>
    <row r="14" spans="1:16" ht="16.5">
      <c r="A14" s="61"/>
      <c r="B14" s="61" t="s">
        <v>112</v>
      </c>
      <c r="C14" s="61"/>
      <c r="D14" s="61"/>
      <c r="E14" s="61"/>
      <c r="F14" s="61"/>
      <c r="G14" s="61" t="s">
        <v>111</v>
      </c>
      <c r="H14" s="61"/>
      <c r="I14" s="61"/>
      <c r="J14" s="61"/>
      <c r="K14" s="61"/>
      <c r="L14" s="61"/>
      <c r="M14" s="61"/>
      <c r="N14" s="61"/>
      <c r="O14" s="61"/>
      <c r="P14" s="61"/>
    </row>
    <row r="15" spans="1:12" ht="16.5">
      <c r="A15">
        <v>7</v>
      </c>
      <c r="B15">
        <v>1600</v>
      </c>
      <c r="C15">
        <v>2310</v>
      </c>
      <c r="D15" s="42">
        <f>B15*C15/1000000</f>
        <v>3.696</v>
      </c>
      <c r="E15">
        <v>1</v>
      </c>
      <c r="F15" s="42">
        <f>D15*E15</f>
        <v>3.696</v>
      </c>
      <c r="G15" t="s">
        <v>111</v>
      </c>
      <c r="L15" s="42">
        <f>F15</f>
        <v>3.696</v>
      </c>
    </row>
    <row r="16" spans="1:16" ht="16.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8:14" ht="16.5">
      <c r="H17" s="42">
        <f>SUM(H8:H16)</f>
        <v>42.9764</v>
      </c>
      <c r="J17" s="42">
        <f>SUM(J8:J16)</f>
        <v>5.8100000000000005</v>
      </c>
      <c r="L17" s="42">
        <f>SUM(L8:L16)</f>
        <v>8.176</v>
      </c>
      <c r="N17" s="42">
        <f>SUM(N8:N16)</f>
        <v>0</v>
      </c>
    </row>
    <row r="18" spans="1:12" ht="16.5">
      <c r="A18" t="s">
        <v>113</v>
      </c>
      <c r="D18" t="s">
        <v>114</v>
      </c>
      <c r="E18" s="42">
        <f>E9+E11+E13</f>
        <v>7</v>
      </c>
      <c r="F18" s="42">
        <f>SUM(H18:P18)*0.001</f>
        <v>11.02</v>
      </c>
      <c r="G18" t="s">
        <v>115</v>
      </c>
      <c r="H18" s="42">
        <f>B11*E11</f>
        <v>7520</v>
      </c>
      <c r="J18" s="42">
        <f>B13*E13</f>
        <v>700</v>
      </c>
      <c r="L18" s="42">
        <f>B9*E9</f>
        <v>2800</v>
      </c>
    </row>
    <row r="20" spans="1:8" ht="16.5">
      <c r="A20" s="64" t="s">
        <v>116</v>
      </c>
      <c r="B20" s="64"/>
      <c r="C20" s="64" t="s">
        <v>117</v>
      </c>
      <c r="D20" s="64" t="s">
        <v>118</v>
      </c>
      <c r="E20" s="64" t="s">
        <v>119</v>
      </c>
      <c r="F20" s="64"/>
      <c r="G20" s="64"/>
      <c r="H20" s="64"/>
    </row>
    <row r="21" spans="1:8" ht="16.5">
      <c r="A21" s="64"/>
      <c r="B21" s="64"/>
      <c r="C21" s="64"/>
      <c r="D21" s="64"/>
      <c r="E21" s="64" t="s">
        <v>120</v>
      </c>
      <c r="F21" s="64"/>
      <c r="G21" s="64"/>
      <c r="H21" s="64"/>
    </row>
    <row r="22" spans="1:4" ht="16.5">
      <c r="A22" t="s">
        <v>121</v>
      </c>
      <c r="C22" s="65"/>
      <c r="D22" s="65"/>
    </row>
    <row r="23" spans="1:8" ht="16.5">
      <c r="A23" t="s">
        <v>122</v>
      </c>
      <c r="C23">
        <v>1.25</v>
      </c>
      <c r="D23">
        <v>2.1</v>
      </c>
      <c r="E23">
        <v>1</v>
      </c>
      <c r="F23" s="42">
        <f>C23*D23*E23</f>
        <v>2.625</v>
      </c>
      <c r="H23" s="42">
        <f>SUM(F23:F26)</f>
        <v>12.495</v>
      </c>
    </row>
    <row r="24" spans="1:6" ht="16.5">
      <c r="A24" t="s">
        <v>123</v>
      </c>
      <c r="C24">
        <v>1.2</v>
      </c>
      <c r="D24">
        <v>2.1</v>
      </c>
      <c r="E24">
        <v>1</v>
      </c>
      <c r="F24" s="42">
        <f>C24*D24*E24</f>
        <v>2.52</v>
      </c>
    </row>
    <row r="25" spans="1:6" ht="16.5">
      <c r="A25" t="s">
        <v>123</v>
      </c>
      <c r="C25">
        <v>0.9</v>
      </c>
      <c r="D25">
        <v>2.1</v>
      </c>
      <c r="E25">
        <v>3</v>
      </c>
      <c r="F25" s="42">
        <f>C25*D25*E25</f>
        <v>5.67</v>
      </c>
    </row>
    <row r="26" spans="1:6" ht="16.5">
      <c r="A26" t="s">
        <v>124</v>
      </c>
      <c r="C26">
        <v>0.8</v>
      </c>
      <c r="D26">
        <v>2.1</v>
      </c>
      <c r="E26">
        <v>1</v>
      </c>
      <c r="F26" s="42">
        <f>C26*D26*E26</f>
        <v>1.6800000000000002</v>
      </c>
    </row>
    <row r="28" spans="1:8" ht="16.5">
      <c r="A28" t="s">
        <v>125</v>
      </c>
      <c r="C28">
        <v>0.9</v>
      </c>
      <c r="D28">
        <v>2.1</v>
      </c>
      <c r="E28">
        <v>3</v>
      </c>
      <c r="F28" s="42">
        <f>C28*D28*E28</f>
        <v>5.67</v>
      </c>
      <c r="H28" s="42">
        <f>SUM(F28:F30)</f>
        <v>10.5</v>
      </c>
    </row>
    <row r="29" spans="1:6" ht="16.5">
      <c r="A29" t="s">
        <v>125</v>
      </c>
      <c r="C29">
        <v>0.8</v>
      </c>
      <c r="D29">
        <v>2.1</v>
      </c>
      <c r="E29">
        <v>2</v>
      </c>
      <c r="F29" s="42">
        <f>C29*D29*E29</f>
        <v>3.3600000000000003</v>
      </c>
    </row>
    <row r="30" spans="1:6" ht="16.5">
      <c r="A30" t="s">
        <v>126</v>
      </c>
      <c r="C30">
        <v>0.7</v>
      </c>
      <c r="D30">
        <v>2.1</v>
      </c>
      <c r="E30">
        <v>1</v>
      </c>
      <c r="F30" s="42">
        <f>C30*D30*E30</f>
        <v>1.4700000000000002</v>
      </c>
    </row>
    <row r="32" ht="16.5">
      <c r="A32" t="s">
        <v>127</v>
      </c>
    </row>
    <row r="33" spans="1:6" ht="16.5">
      <c r="A33" t="s">
        <v>128</v>
      </c>
      <c r="C33">
        <v>0.9</v>
      </c>
      <c r="D33">
        <v>2.1</v>
      </c>
      <c r="E33">
        <v>1</v>
      </c>
      <c r="F33" s="42">
        <f>C33*D33*E33</f>
        <v>1.8900000000000001</v>
      </c>
    </row>
    <row r="34" spans="1:8" ht="16.5">
      <c r="A34" t="s">
        <v>128</v>
      </c>
      <c r="C34">
        <v>0.8</v>
      </c>
      <c r="D34">
        <v>2.1</v>
      </c>
      <c r="E34">
        <v>2</v>
      </c>
      <c r="F34" s="42">
        <f>C34*D34*E34</f>
        <v>3.3600000000000003</v>
      </c>
      <c r="H34" s="42">
        <f>SUM(F33:F35)</f>
        <v>6.770000000000001</v>
      </c>
    </row>
    <row r="35" spans="1:6" ht="16.5">
      <c r="A35" t="s">
        <v>129</v>
      </c>
      <c r="C35">
        <v>0.8</v>
      </c>
      <c r="D35">
        <v>1.9</v>
      </c>
      <c r="E35">
        <v>1</v>
      </c>
      <c r="F35" s="42">
        <f>C35*D35*E35</f>
        <v>1.52</v>
      </c>
    </row>
    <row r="37" spans="3:6" ht="16.5">
      <c r="C37">
        <v>0.8</v>
      </c>
      <c r="D37">
        <v>2.1</v>
      </c>
      <c r="E37">
        <v>1</v>
      </c>
      <c r="F37" s="42">
        <f>C37*D37*E37</f>
        <v>1.6800000000000002</v>
      </c>
    </row>
    <row r="38" spans="1:8" ht="16.5">
      <c r="A38" t="s">
        <v>125</v>
      </c>
      <c r="C38">
        <v>0.9</v>
      </c>
      <c r="D38">
        <v>2</v>
      </c>
      <c r="E38">
        <v>3</v>
      </c>
      <c r="F38" s="42">
        <f>C38*D38*E38</f>
        <v>5.4</v>
      </c>
      <c r="H38" s="42">
        <f>SUM(F37:F40)</f>
        <v>9.94</v>
      </c>
    </row>
    <row r="39" spans="1:6" ht="16.5">
      <c r="A39" t="s">
        <v>125</v>
      </c>
      <c r="C39">
        <v>0.8</v>
      </c>
      <c r="D39">
        <v>2</v>
      </c>
      <c r="E39">
        <v>1</v>
      </c>
      <c r="F39" s="42">
        <f>C39*D39*E39</f>
        <v>1.6</v>
      </c>
    </row>
    <row r="40" spans="1:6" ht="16.5">
      <c r="A40" t="s">
        <v>130</v>
      </c>
      <c r="C40">
        <v>0.9</v>
      </c>
      <c r="D40">
        <v>1.4</v>
      </c>
      <c r="E40">
        <v>1</v>
      </c>
      <c r="F40" s="42">
        <f>C40*D40*E40</f>
        <v>1.26</v>
      </c>
    </row>
    <row r="42" ht="16.5">
      <c r="A42" t="s">
        <v>131</v>
      </c>
    </row>
    <row r="43" spans="1:8" ht="16.5">
      <c r="A43" t="s">
        <v>40</v>
      </c>
      <c r="C43">
        <v>0.85</v>
      </c>
      <c r="D43">
        <v>2.1</v>
      </c>
      <c r="E43">
        <v>2</v>
      </c>
      <c r="F43" s="42">
        <f>C43*D43*E43</f>
        <v>3.57</v>
      </c>
      <c r="H43" s="42">
        <f>SUM(F43:F45)</f>
        <v>10.7575</v>
      </c>
    </row>
    <row r="44" spans="1:6" ht="16.5">
      <c r="A44" t="s">
        <v>130</v>
      </c>
      <c r="C44">
        <v>1.25</v>
      </c>
      <c r="D44">
        <v>1.25</v>
      </c>
      <c r="E44">
        <v>1</v>
      </c>
      <c r="F44" s="42">
        <f>C44*D44*E44</f>
        <v>1.5625</v>
      </c>
    </row>
    <row r="45" spans="1:6" ht="16.5">
      <c r="A45" t="s">
        <v>132</v>
      </c>
      <c r="C45">
        <v>2.5</v>
      </c>
      <c r="D45">
        <v>2.25</v>
      </c>
      <c r="E45">
        <v>1</v>
      </c>
      <c r="F45" s="42">
        <f>C45*D45*E45</f>
        <v>5.625</v>
      </c>
    </row>
    <row r="47" ht="16.5">
      <c r="E47" s="42">
        <f>SUM(E23:E44)-E40-E44</f>
        <v>23</v>
      </c>
    </row>
  </sheetData>
  <mergeCells count="5">
    <mergeCell ref="H5:I5"/>
    <mergeCell ref="J5:K5"/>
    <mergeCell ref="L5:M5"/>
    <mergeCell ref="N5:O5"/>
    <mergeCell ref="F6:G6"/>
  </mergeCells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workbookViewId="0" topLeftCell="A1">
      <selection activeCell="J14" sqref="A1:IV65536"/>
    </sheetView>
  </sheetViews>
  <sheetFormatPr defaultColWidth="9.77734375" defaultRowHeight="16.5"/>
  <cols>
    <col min="1" max="1" width="18.4453125" style="0" customWidth="1"/>
    <col min="2" max="2" width="8.77734375" style="0" customWidth="1"/>
    <col min="3" max="3" width="1.2265625" style="0" customWidth="1"/>
    <col min="4" max="4" width="9.10546875" style="0" customWidth="1"/>
    <col min="5" max="5" width="1.2265625" style="0" customWidth="1"/>
    <col min="6" max="6" width="9.3359375" style="0" customWidth="1"/>
    <col min="7" max="7" width="1.2265625" style="0" customWidth="1"/>
    <col min="8" max="8" width="9.10546875" style="0" customWidth="1"/>
    <col min="9" max="9" width="1.2265625" style="0" customWidth="1"/>
    <col min="11" max="11" width="2.88671875" style="0" customWidth="1"/>
  </cols>
  <sheetData>
    <row r="1" spans="1:9" ht="16.5">
      <c r="A1" s="46" t="s">
        <v>133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46"/>
      <c r="B2" s="66"/>
      <c r="C2" s="66"/>
      <c r="D2" s="66"/>
      <c r="E2" s="66"/>
      <c r="F2" s="66"/>
      <c r="G2" s="66"/>
      <c r="H2" s="66"/>
      <c r="I2" s="66"/>
    </row>
    <row r="3" spans="1:10" ht="16.5">
      <c r="A3" s="46"/>
      <c r="B3" s="67" t="s">
        <v>93</v>
      </c>
      <c r="C3" s="67"/>
      <c r="D3" s="68" t="s">
        <v>94</v>
      </c>
      <c r="E3" s="68"/>
      <c r="F3" s="52" t="s">
        <v>95</v>
      </c>
      <c r="G3" s="52"/>
      <c r="H3" s="53" t="s">
        <v>96</v>
      </c>
      <c r="I3" s="53"/>
      <c r="J3" s="54"/>
    </row>
    <row r="4" spans="2:10" ht="16.5">
      <c r="B4" s="69">
        <v>180</v>
      </c>
      <c r="C4" s="69"/>
      <c r="D4" s="69">
        <v>270</v>
      </c>
      <c r="E4" s="69"/>
      <c r="F4" s="69">
        <v>90</v>
      </c>
      <c r="G4" s="69"/>
      <c r="H4" s="69">
        <v>45</v>
      </c>
      <c r="I4" s="69"/>
      <c r="J4" s="70"/>
    </row>
    <row r="5" spans="2:10" ht="16.5">
      <c r="B5" s="71" t="s">
        <v>106</v>
      </c>
      <c r="C5" s="71"/>
      <c r="D5" s="71" t="s">
        <v>107</v>
      </c>
      <c r="E5" s="71"/>
      <c r="F5" s="71" t="s">
        <v>108</v>
      </c>
      <c r="G5" s="71"/>
      <c r="H5" s="71" t="s">
        <v>109</v>
      </c>
      <c r="I5" s="71"/>
      <c r="J5" s="58" t="s">
        <v>134</v>
      </c>
    </row>
    <row r="6" spans="1:11" ht="16.5">
      <c r="A6" s="54" t="s">
        <v>135</v>
      </c>
      <c r="B6" s="72">
        <f>'Окна-двери'!H17</f>
        <v>42.9764</v>
      </c>
      <c r="D6" s="72">
        <f>'Окна-двери'!J17</f>
        <v>5.8100000000000005</v>
      </c>
      <c r="F6" s="72">
        <f>'Окна-двери'!L17</f>
        <v>8.176</v>
      </c>
      <c r="H6" s="72">
        <f>'Окна-двери'!N17</f>
        <v>0</v>
      </c>
      <c r="J6" s="73">
        <f>SUM(B6:I6)</f>
        <v>56.9624</v>
      </c>
      <c r="K6" t="s">
        <v>136</v>
      </c>
    </row>
    <row r="7" spans="1:8" ht="16.5">
      <c r="A7" s="74"/>
      <c r="B7" s="75"/>
      <c r="D7" s="75"/>
      <c r="F7" s="75"/>
      <c r="H7" s="75"/>
    </row>
    <row r="8" spans="1:10" ht="16.5">
      <c r="A8" s="74"/>
      <c r="D8" s="75"/>
      <c r="J8" s="75"/>
    </row>
    <row r="9" spans="1:11" ht="16.5">
      <c r="A9" s="76" t="s">
        <v>137</v>
      </c>
      <c r="B9" s="72">
        <f>106-B12</f>
        <v>89.83</v>
      </c>
      <c r="D9" s="72">
        <f>89-D12</f>
        <v>76</v>
      </c>
      <c r="F9" s="72">
        <f>89-F12</f>
        <v>76</v>
      </c>
      <c r="H9" s="72">
        <f>75.7-H12</f>
        <v>59.53</v>
      </c>
      <c r="J9" s="72">
        <f>SUM(B9:I9)</f>
        <v>301.36</v>
      </c>
      <c r="K9" t="s">
        <v>136</v>
      </c>
    </row>
    <row r="10" spans="1:11" ht="29.25">
      <c r="A10" s="77" t="s">
        <v>138</v>
      </c>
      <c r="B10" s="72">
        <f>B9-B6</f>
        <v>46.8536</v>
      </c>
      <c r="D10" s="72">
        <f>D9-D6</f>
        <v>70.19</v>
      </c>
      <c r="F10" s="72">
        <f>F9-F6</f>
        <v>67.824</v>
      </c>
      <c r="H10" s="72">
        <f>H9-H6</f>
        <v>59.53</v>
      </c>
      <c r="J10" s="73">
        <f>SUM(B10:I10)</f>
        <v>244.3976</v>
      </c>
      <c r="K10" s="78" t="s">
        <v>136</v>
      </c>
    </row>
    <row r="11" ht="16.5">
      <c r="A11" s="74"/>
    </row>
    <row r="12" spans="1:11" ht="16.5">
      <c r="A12" s="74" t="s">
        <v>139</v>
      </c>
      <c r="B12" s="72">
        <f>15.4*1.05</f>
        <v>16.17</v>
      </c>
      <c r="D12" s="72">
        <v>13</v>
      </c>
      <c r="F12" s="72">
        <v>13</v>
      </c>
      <c r="H12" s="72">
        <f>15.4*1.05</f>
        <v>16.17</v>
      </c>
      <c r="J12" s="73">
        <f>SUM(B12:I12)</f>
        <v>58.34</v>
      </c>
      <c r="K12" t="s">
        <v>136</v>
      </c>
    </row>
    <row r="13" ht="16.5">
      <c r="A13" s="74"/>
    </row>
    <row r="14" spans="1:11" ht="16.5">
      <c r="A14" s="74" t="s">
        <v>140</v>
      </c>
      <c r="J14" s="73">
        <f>183.02</f>
        <v>183.02</v>
      </c>
      <c r="K14" t="s">
        <v>136</v>
      </c>
    </row>
    <row r="15" ht="16.5">
      <c r="A15" s="74"/>
    </row>
    <row r="16" spans="1:11" ht="16.5">
      <c r="A16" s="74" t="s">
        <v>141</v>
      </c>
      <c r="B16" s="72">
        <f>4.3*15.4</f>
        <v>66.22</v>
      </c>
      <c r="D16" s="72">
        <v>2.5</v>
      </c>
      <c r="F16" s="72">
        <v>2.5</v>
      </c>
      <c r="H16" s="72">
        <f>10.55*15.4</f>
        <v>162.47000000000003</v>
      </c>
      <c r="J16" s="73">
        <f>SUM(B16:H16)</f>
        <v>233.69000000000003</v>
      </c>
      <c r="K16" t="s">
        <v>136</v>
      </c>
    </row>
    <row r="18" spans="1:11" ht="16.5">
      <c r="A18" t="s">
        <v>142</v>
      </c>
      <c r="B18" s="75"/>
      <c r="C18" s="75"/>
      <c r="D18" s="75"/>
      <c r="E18" s="75"/>
      <c r="F18" s="75"/>
      <c r="G18" s="75"/>
      <c r="H18" s="75"/>
      <c r="I18" s="75"/>
      <c r="J18" s="73">
        <f>Площади!F54</f>
        <v>778.8740499999999</v>
      </c>
      <c r="K18" s="75" t="s">
        <v>24</v>
      </c>
    </row>
  </sheetData>
  <mergeCells count="3">
    <mergeCell ref="B3:C3"/>
    <mergeCell ref="D3:E3"/>
    <mergeCell ref="F3:G3"/>
  </mergeCells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4">
      <selection activeCell="E26" sqref="A1:IV65536"/>
    </sheetView>
  </sheetViews>
  <sheetFormatPr defaultColWidth="9.77734375" defaultRowHeight="16.5"/>
  <cols>
    <col min="1" max="1" width="3.88671875" style="0" customWidth="1"/>
    <col min="2" max="2" width="18.21484375" style="0" customWidth="1"/>
    <col min="3" max="3" width="10.5546875" style="0" customWidth="1"/>
    <col min="4" max="4" width="10.88671875" style="0" customWidth="1"/>
    <col min="5" max="5" width="7.99609375" style="0" customWidth="1"/>
    <col min="6" max="7" width="6.3359375" style="0" customWidth="1"/>
    <col min="8" max="8" width="6.77734375" style="0" customWidth="1"/>
  </cols>
  <sheetData>
    <row r="1" spans="1:8" ht="16.5">
      <c r="A1" s="6" t="s">
        <v>143</v>
      </c>
      <c r="C1" s="46"/>
      <c r="D1" s="46"/>
      <c r="E1" s="46"/>
      <c r="F1" s="46"/>
      <c r="G1" s="46"/>
      <c r="H1" s="46"/>
    </row>
    <row r="2" ht="16.5">
      <c r="B2" t="s">
        <v>50</v>
      </c>
    </row>
    <row r="3" spans="1:8" ht="16.5">
      <c r="A3" s="6">
        <v>1</v>
      </c>
      <c r="B3" s="6" t="s">
        <v>144</v>
      </c>
      <c r="C3" s="6"/>
      <c r="D3" s="6"/>
      <c r="E3" s="6"/>
      <c r="F3" s="6"/>
      <c r="G3" s="6"/>
      <c r="H3" s="6"/>
    </row>
    <row r="4" spans="2:4" ht="16.5">
      <c r="B4" t="s">
        <v>145</v>
      </c>
      <c r="C4">
        <v>0.95</v>
      </c>
      <c r="D4" t="s">
        <v>90</v>
      </c>
    </row>
    <row r="5" spans="2:3" ht="16.5">
      <c r="B5" s="46" t="s">
        <v>146</v>
      </c>
      <c r="C5" s="46">
        <f>1/C4</f>
        <v>1.0526315789473684</v>
      </c>
    </row>
    <row r="7" spans="1:8" ht="16.5">
      <c r="A7" s="6">
        <v>2</v>
      </c>
      <c r="B7" s="6" t="s">
        <v>147</v>
      </c>
      <c r="C7" s="6"/>
      <c r="D7" s="6"/>
      <c r="E7" s="6"/>
      <c r="F7" s="6"/>
      <c r="G7" s="6"/>
      <c r="H7" s="6"/>
    </row>
    <row r="8" spans="2:7" ht="16.5">
      <c r="B8" t="s">
        <v>148</v>
      </c>
      <c r="C8" t="s">
        <v>149</v>
      </c>
      <c r="D8" t="s">
        <v>150</v>
      </c>
      <c r="E8" t="s">
        <v>151</v>
      </c>
      <c r="F8" t="s">
        <v>152</v>
      </c>
      <c r="G8" t="s">
        <v>153</v>
      </c>
    </row>
    <row r="9" spans="2:7" ht="16.5">
      <c r="B9" t="s">
        <v>154</v>
      </c>
      <c r="C9">
        <v>2</v>
      </c>
      <c r="D9">
        <v>20</v>
      </c>
      <c r="E9">
        <v>25</v>
      </c>
      <c r="F9">
        <v>3</v>
      </c>
      <c r="G9" s="46">
        <f>SUM(C9:F9)</f>
        <v>50</v>
      </c>
    </row>
    <row r="10" spans="2:6" ht="16.5">
      <c r="B10" t="s">
        <v>155</v>
      </c>
      <c r="C10">
        <v>0.5</v>
      </c>
      <c r="D10">
        <v>0.05</v>
      </c>
      <c r="E10">
        <v>0.81</v>
      </c>
      <c r="F10">
        <v>0.5</v>
      </c>
    </row>
    <row r="11" spans="2:6" ht="16.5">
      <c r="B11" t="s">
        <v>145</v>
      </c>
      <c r="C11" s="42">
        <f>C9*0.01/C10</f>
        <v>0.04</v>
      </c>
      <c r="D11" s="42">
        <f>D9*0.01/D10</f>
        <v>4</v>
      </c>
      <c r="E11" s="42">
        <f>E9*0.01/E10</f>
        <v>0.30864197530864196</v>
      </c>
      <c r="F11" s="42">
        <f>F9*0.01/F10</f>
        <v>0.06</v>
      </c>
    </row>
    <row r="12" spans="2:3" ht="16.5">
      <c r="B12" t="s">
        <v>156</v>
      </c>
      <c r="C12">
        <v>0.04</v>
      </c>
    </row>
    <row r="13" spans="2:8" ht="16.5">
      <c r="B13" s="46" t="s">
        <v>157</v>
      </c>
      <c r="C13" s="46">
        <f>SUM(C11:Z11)</f>
        <v>4.408641975308641</v>
      </c>
      <c r="D13" s="46"/>
      <c r="E13" s="46"/>
      <c r="F13" s="46"/>
      <c r="G13" s="46"/>
      <c r="H13" s="46"/>
    </row>
    <row r="14" spans="2:6" ht="16.5">
      <c r="B14" t="s">
        <v>158</v>
      </c>
      <c r="C14">
        <v>0.13</v>
      </c>
      <c r="F14" t="s">
        <v>34</v>
      </c>
    </row>
    <row r="15" spans="2:3" ht="16.5">
      <c r="B15" s="79" t="s">
        <v>159</v>
      </c>
      <c r="C15" s="42">
        <f>SUM(C12:C14)</f>
        <v>4.578641975308641</v>
      </c>
    </row>
    <row r="16" spans="2:3" ht="16.5">
      <c r="B16" s="46" t="s">
        <v>160</v>
      </c>
      <c r="C16" s="46">
        <f>1/C15</f>
        <v>0.21840537115431288</v>
      </c>
    </row>
    <row r="17" spans="2:3" ht="16.5">
      <c r="B17" s="46"/>
      <c r="C17" s="46"/>
    </row>
    <row r="18" spans="1:8" ht="16.5">
      <c r="A18" s="6">
        <v>3</v>
      </c>
      <c r="B18" s="6" t="s">
        <v>161</v>
      </c>
      <c r="C18" s="6"/>
      <c r="D18" s="6"/>
      <c r="E18" s="6"/>
      <c r="F18" s="6"/>
      <c r="G18" s="6"/>
      <c r="H18" s="6"/>
    </row>
    <row r="19" spans="2:7" ht="16.5">
      <c r="B19" t="s">
        <v>148</v>
      </c>
      <c r="C19" t="s">
        <v>162</v>
      </c>
      <c r="D19" t="s">
        <v>150</v>
      </c>
      <c r="E19" t="s">
        <v>163</v>
      </c>
      <c r="F19" t="s">
        <v>152</v>
      </c>
      <c r="G19" t="s">
        <v>153</v>
      </c>
    </row>
    <row r="20" spans="2:7" ht="16.5">
      <c r="B20" t="s">
        <v>154</v>
      </c>
      <c r="C20">
        <v>1</v>
      </c>
      <c r="D20">
        <v>20</v>
      </c>
      <c r="E20">
        <v>25</v>
      </c>
      <c r="F20">
        <v>3</v>
      </c>
      <c r="G20" s="46">
        <f>SUM(C20:F20)</f>
        <v>49</v>
      </c>
    </row>
    <row r="21" spans="2:6" ht="16.5">
      <c r="B21" t="s">
        <v>155</v>
      </c>
      <c r="C21">
        <v>0.5</v>
      </c>
      <c r="D21">
        <v>0.05</v>
      </c>
      <c r="E21">
        <v>2.04</v>
      </c>
      <c r="F21">
        <v>0.5</v>
      </c>
    </row>
    <row r="22" spans="2:6" ht="16.5">
      <c r="B22" t="s">
        <v>145</v>
      </c>
      <c r="C22" s="42">
        <f>C20*0.01/C21</f>
        <v>0.02</v>
      </c>
      <c r="D22" s="42">
        <f>D20*0.01/D21</f>
        <v>4</v>
      </c>
      <c r="E22" s="42">
        <f>E20*0.01/E21</f>
        <v>0.12254901960784313</v>
      </c>
      <c r="F22" s="42">
        <f>F20*0.01/F21</f>
        <v>0.06</v>
      </c>
    </row>
    <row r="23" spans="2:3" ht="16.5">
      <c r="B23" t="s">
        <v>156</v>
      </c>
      <c r="C23">
        <v>0.04</v>
      </c>
    </row>
    <row r="24" spans="2:8" ht="16.5">
      <c r="B24" s="46" t="s">
        <v>157</v>
      </c>
      <c r="C24" s="46">
        <f>SUM(C22:Z22)</f>
        <v>4.202549019607842</v>
      </c>
      <c r="D24" s="46"/>
      <c r="E24" s="46"/>
      <c r="F24" s="46"/>
      <c r="G24" s="46"/>
      <c r="H24" s="46"/>
    </row>
    <row r="25" spans="2:6" ht="16.5">
      <c r="B25" t="s">
        <v>158</v>
      </c>
      <c r="C25">
        <v>0.13</v>
      </c>
      <c r="F25" t="s">
        <v>34</v>
      </c>
    </row>
    <row r="26" spans="2:3" ht="16.5">
      <c r="B26" s="79" t="s">
        <v>159</v>
      </c>
      <c r="C26" s="42">
        <f>SUM(C23:C25)</f>
        <v>4.372549019607842</v>
      </c>
    </row>
    <row r="27" spans="2:3" ht="16.5">
      <c r="B27" s="46" t="s">
        <v>160</v>
      </c>
      <c r="C27" s="46">
        <f>1/C26</f>
        <v>0.2286995515695068</v>
      </c>
    </row>
    <row r="28" spans="2:3" ht="16.5">
      <c r="B28" s="46"/>
      <c r="C28" s="46"/>
    </row>
    <row r="29" spans="1:8" ht="16.5">
      <c r="A29" s="6">
        <v>4</v>
      </c>
      <c r="B29" s="6" t="s">
        <v>164</v>
      </c>
      <c r="C29" s="6"/>
      <c r="D29" s="6"/>
      <c r="E29" s="6"/>
      <c r="F29" s="6"/>
      <c r="G29" s="6"/>
      <c r="H29" s="6"/>
    </row>
    <row r="30" spans="2:7" ht="16.5">
      <c r="B30" t="s">
        <v>148</v>
      </c>
      <c r="C30" t="s">
        <v>165</v>
      </c>
      <c r="D30" t="s">
        <v>166</v>
      </c>
      <c r="E30" t="s">
        <v>150</v>
      </c>
      <c r="F30" t="s">
        <v>167</v>
      </c>
      <c r="G30" t="s">
        <v>153</v>
      </c>
    </row>
    <row r="31" spans="2:8" ht="16.5">
      <c r="B31" t="s">
        <v>154</v>
      </c>
      <c r="C31">
        <v>10</v>
      </c>
      <c r="D31">
        <v>0.5</v>
      </c>
      <c r="E31">
        <v>10</v>
      </c>
      <c r="F31" s="75">
        <v>30</v>
      </c>
      <c r="G31" s="46">
        <f>SUM(C31:F31)</f>
        <v>50.5</v>
      </c>
      <c r="H31" s="46"/>
    </row>
    <row r="32" spans="2:6" ht="16.5">
      <c r="B32" t="s">
        <v>155</v>
      </c>
      <c r="C32">
        <v>1.6</v>
      </c>
      <c r="D32">
        <v>1</v>
      </c>
      <c r="E32">
        <v>0.05</v>
      </c>
      <c r="F32">
        <v>2.04</v>
      </c>
    </row>
    <row r="33" spans="2:6" ht="16.5">
      <c r="B33" t="s">
        <v>145</v>
      </c>
      <c r="C33" s="42">
        <f>C31*0.01/C32</f>
        <v>0.0625</v>
      </c>
      <c r="D33" s="42">
        <f>D31*0.01/D32</f>
        <v>0.005</v>
      </c>
      <c r="E33" s="42">
        <f>E31*0.01/E32</f>
        <v>2</v>
      </c>
      <c r="F33" s="42">
        <f>F31*0.01/F32</f>
        <v>0.14705882352941177</v>
      </c>
    </row>
    <row r="34" spans="2:3" ht="16.5">
      <c r="B34" t="s">
        <v>156</v>
      </c>
      <c r="C34">
        <v>0.30000000000000004</v>
      </c>
    </row>
    <row r="35" spans="2:8" ht="16.5">
      <c r="B35" s="46" t="s">
        <v>157</v>
      </c>
      <c r="C35" s="46">
        <f>SUM(C33:Z33)</f>
        <v>2.2145588235294116</v>
      </c>
      <c r="E35" s="46"/>
      <c r="F35" s="46"/>
      <c r="G35" s="46"/>
      <c r="H35" s="46"/>
    </row>
    <row r="36" spans="2:3" ht="16.5">
      <c r="B36" t="s">
        <v>158</v>
      </c>
      <c r="C36">
        <v>0.17</v>
      </c>
    </row>
    <row r="37" spans="2:3" ht="16.5">
      <c r="B37" s="79" t="s">
        <v>159</v>
      </c>
      <c r="C37" s="42">
        <f>SUM(C34:C36)</f>
        <v>2.6845588235294118</v>
      </c>
    </row>
    <row r="38" spans="2:3" ht="16.5">
      <c r="B38" s="46" t="s">
        <v>160</v>
      </c>
      <c r="C38" s="80">
        <f>1/C37</f>
        <v>0.3725006847439058</v>
      </c>
    </row>
    <row r="40" spans="1:8" ht="16.5">
      <c r="A40" s="81">
        <v>5</v>
      </c>
      <c r="B40" s="6" t="s">
        <v>168</v>
      </c>
      <c r="C40" s="6"/>
      <c r="D40" s="6"/>
      <c r="E40" s="6"/>
      <c r="F40" s="6"/>
      <c r="G40" s="6"/>
      <c r="H40" s="6"/>
    </row>
    <row r="41" spans="1:8" ht="16.5">
      <c r="A41" s="79"/>
      <c r="B41" s="79"/>
      <c r="C41" s="79"/>
      <c r="D41" s="79"/>
      <c r="E41" s="79" t="s">
        <v>169</v>
      </c>
      <c r="F41" s="79"/>
      <c r="G41" s="79"/>
      <c r="H41" s="79"/>
    </row>
    <row r="42" spans="1:8" ht="16.5">
      <c r="A42" s="79"/>
      <c r="B42" t="s">
        <v>148</v>
      </c>
      <c r="C42" s="79" t="s">
        <v>170</v>
      </c>
      <c r="D42" s="79" t="s">
        <v>171</v>
      </c>
      <c r="E42" s="79"/>
      <c r="F42" s="79" t="s">
        <v>172</v>
      </c>
      <c r="G42" t="s">
        <v>153</v>
      </c>
      <c r="H42" s="79"/>
    </row>
    <row r="43" spans="1:8" ht="16.5">
      <c r="A43" s="79"/>
      <c r="B43" s="79" t="s">
        <v>154</v>
      </c>
      <c r="C43" s="79">
        <v>2</v>
      </c>
      <c r="D43" s="79">
        <v>5</v>
      </c>
      <c r="E43" s="79">
        <v>20</v>
      </c>
      <c r="F43" s="79">
        <v>1.4</v>
      </c>
      <c r="G43" s="82">
        <f>SUM(C43:F43)</f>
        <v>28.4</v>
      </c>
      <c r="H43" s="79"/>
    </row>
    <row r="44" spans="1:8" ht="16.5">
      <c r="A44" s="79"/>
      <c r="B44" s="79" t="s">
        <v>155</v>
      </c>
      <c r="C44" s="79">
        <v>1</v>
      </c>
      <c r="D44" s="79">
        <v>0.035</v>
      </c>
      <c r="E44" s="83">
        <v>0.035</v>
      </c>
      <c r="F44" s="79">
        <v>0.30000000000000004</v>
      </c>
      <c r="G44" s="79"/>
      <c r="H44" s="79"/>
    </row>
    <row r="45" spans="1:8" ht="16.5">
      <c r="A45" s="79"/>
      <c r="B45" s="79" t="s">
        <v>145</v>
      </c>
      <c r="C45" s="79">
        <f>C43*0.01/C44</f>
        <v>0.02</v>
      </c>
      <c r="D45" s="79">
        <f>D43*0.01/D44</f>
        <v>1.4285714285714286</v>
      </c>
      <c r="E45" s="79">
        <f>E43*0.01/E44</f>
        <v>5.714285714285714</v>
      </c>
      <c r="F45" s="79">
        <f>F43*0.01/F44</f>
        <v>0.046666666666666655</v>
      </c>
      <c r="G45" s="79"/>
      <c r="H45" s="79"/>
    </row>
    <row r="46" spans="1:8" ht="16.5">
      <c r="A46" s="79"/>
      <c r="B46" s="79" t="s">
        <v>156</v>
      </c>
      <c r="C46" s="79">
        <v>0.04</v>
      </c>
      <c r="D46" s="79"/>
      <c r="E46" s="79"/>
      <c r="F46" s="79"/>
      <c r="G46" s="79"/>
      <c r="H46" s="79"/>
    </row>
    <row r="47" spans="1:8" ht="16.5">
      <c r="A47" s="79"/>
      <c r="B47" s="82" t="s">
        <v>157</v>
      </c>
      <c r="C47" s="82">
        <f>SUM(C45:Z45)</f>
        <v>7.20952380952381</v>
      </c>
      <c r="D47" s="82"/>
      <c r="E47" s="79"/>
      <c r="F47" s="82"/>
      <c r="G47" s="82"/>
      <c r="H47" s="82"/>
    </row>
    <row r="48" spans="1:8" ht="16.5">
      <c r="A48" s="79"/>
      <c r="B48" s="79" t="s">
        <v>158</v>
      </c>
      <c r="C48" s="79">
        <v>0.13</v>
      </c>
      <c r="D48" s="79"/>
      <c r="E48" s="79"/>
      <c r="F48" s="79"/>
      <c r="G48" s="79"/>
      <c r="H48" s="79"/>
    </row>
    <row r="49" spans="1:8" ht="16.5">
      <c r="A49" s="79"/>
      <c r="B49" s="79" t="s">
        <v>159</v>
      </c>
      <c r="C49" s="79">
        <f>SUM(C46:C48)</f>
        <v>7.37952380952381</v>
      </c>
      <c r="D49" s="79"/>
      <c r="E49" s="79"/>
      <c r="F49" s="79"/>
      <c r="G49" s="79"/>
      <c r="H49" s="79"/>
    </row>
    <row r="50" spans="1:8" ht="16.5">
      <c r="A50" s="79"/>
      <c r="B50" s="82" t="s">
        <v>160</v>
      </c>
      <c r="C50" s="82">
        <f>1/C49</f>
        <v>0.13551009872878622</v>
      </c>
      <c r="D50" s="79"/>
      <c r="E50" s="79"/>
      <c r="F50" s="79"/>
      <c r="G50" s="79"/>
      <c r="H50" s="79"/>
    </row>
    <row r="51" spans="1:8" ht="16.5">
      <c r="A51" s="79"/>
      <c r="B51" s="79"/>
      <c r="C51" s="79"/>
      <c r="D51" s="79"/>
      <c r="E51" s="79"/>
      <c r="F51" s="79"/>
      <c r="G51" s="79"/>
      <c r="H51" s="79"/>
    </row>
    <row r="52" spans="2:3" ht="16.5">
      <c r="B52" s="46"/>
      <c r="C52" s="80"/>
    </row>
  </sheetData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58">
      <selection activeCell="D82" sqref="A1:IV65536"/>
    </sheetView>
  </sheetViews>
  <sheetFormatPr defaultColWidth="9.77734375" defaultRowHeight="16.5"/>
  <cols>
    <col min="1" max="1" width="31.21484375" style="0" customWidth="1"/>
    <col min="2" max="2" width="11.10546875" style="0" customWidth="1"/>
    <col min="3" max="3" width="6.6640625" style="0" customWidth="1"/>
    <col min="4" max="4" width="7.77734375" style="0" customWidth="1"/>
    <col min="5" max="5" width="8.21484375" style="0" customWidth="1"/>
    <col min="6" max="6" width="6.5546875" style="84" customWidth="1"/>
    <col min="7" max="7" width="7.21484375" style="0" customWidth="1"/>
  </cols>
  <sheetData>
    <row r="1" spans="1:7" ht="29.25" customHeight="1">
      <c r="A1" s="85" t="s">
        <v>173</v>
      </c>
      <c r="B1" s="85"/>
      <c r="C1" s="85"/>
      <c r="D1" s="85"/>
      <c r="E1" s="85"/>
      <c r="F1" s="85"/>
      <c r="G1" s="85"/>
    </row>
    <row r="2" spans="1:6" ht="78">
      <c r="A2" t="s">
        <v>174</v>
      </c>
      <c r="B2" s="86" t="s">
        <v>175</v>
      </c>
      <c r="C2" s="86" t="s">
        <v>2</v>
      </c>
      <c r="D2" s="86" t="s">
        <v>176</v>
      </c>
      <c r="E2" s="86" t="s">
        <v>176</v>
      </c>
      <c r="F2" s="87" t="s">
        <v>177</v>
      </c>
    </row>
    <row r="3" spans="3:6" ht="16.5">
      <c r="C3" t="s">
        <v>136</v>
      </c>
      <c r="D3" t="s">
        <v>178</v>
      </c>
      <c r="E3" t="s">
        <v>179</v>
      </c>
      <c r="F3" s="84" t="s">
        <v>180</v>
      </c>
    </row>
    <row r="5" spans="1:6" ht="16.5">
      <c r="A5" t="s">
        <v>181</v>
      </c>
      <c r="B5" s="42">
        <f>'U-Werte'!C5</f>
        <v>1.0526315789473684</v>
      </c>
      <c r="C5" s="46">
        <f>'Огражд.конструкции'!J6</f>
        <v>56.9624</v>
      </c>
      <c r="D5">
        <v>22</v>
      </c>
      <c r="E5">
        <v>-24</v>
      </c>
      <c r="F5" s="84">
        <f>B5*C5*(D5-E5)</f>
        <v>2758.179368421053</v>
      </c>
    </row>
    <row r="6" spans="1:6" ht="16.5">
      <c r="A6" t="s">
        <v>182</v>
      </c>
      <c r="B6" s="42">
        <f>'U-Werte'!C16</f>
        <v>0.21840537115431288</v>
      </c>
      <c r="C6" s="46">
        <f>'Огражд.конструкции'!J10</f>
        <v>244.3976</v>
      </c>
      <c r="D6" s="42">
        <f>D5</f>
        <v>22</v>
      </c>
      <c r="E6" s="42">
        <f>E5</f>
        <v>-24</v>
      </c>
      <c r="F6" s="84">
        <f>B6*C6*(D6-E6)</f>
        <v>2455.3764327122717</v>
      </c>
    </row>
    <row r="7" spans="1:6" ht="16.5">
      <c r="A7" t="s">
        <v>183</v>
      </c>
      <c r="B7" s="42">
        <f>'U-Werte'!C27</f>
        <v>0.2286995515695068</v>
      </c>
      <c r="C7" s="46">
        <f>'Огражд.конструкции'!J12</f>
        <v>58.34</v>
      </c>
      <c r="D7" s="42">
        <f>D5</f>
        <v>22</v>
      </c>
      <c r="E7">
        <v>-7</v>
      </c>
      <c r="F7" s="84">
        <f>B7*C7*(D7-E7)</f>
        <v>386.92762331838577</v>
      </c>
    </row>
    <row r="8" spans="1:6" ht="16.5">
      <c r="A8" t="s">
        <v>184</v>
      </c>
      <c r="B8" s="42">
        <f>'U-Werte'!C38</f>
        <v>0.3725006847439058</v>
      </c>
      <c r="C8" s="46">
        <f>'Огражд.конструкции'!J14</f>
        <v>183.02</v>
      </c>
      <c r="D8" s="42">
        <f>D5</f>
        <v>22</v>
      </c>
      <c r="E8">
        <v>5</v>
      </c>
      <c r="F8" s="84">
        <f>B8*C8*(D8-E8)</f>
        <v>1158.9762804711038</v>
      </c>
    </row>
    <row r="9" spans="1:6" ht="16.5">
      <c r="A9" t="s">
        <v>185</v>
      </c>
      <c r="B9" s="42">
        <f>'U-Werte'!C50</f>
        <v>0.13551009872878622</v>
      </c>
      <c r="C9" s="46">
        <f>'Огражд.конструкции'!J16</f>
        <v>233.69000000000003</v>
      </c>
      <c r="D9" s="42">
        <f>D5</f>
        <v>22</v>
      </c>
      <c r="E9" s="42">
        <f>E$6</f>
        <v>-24</v>
      </c>
      <c r="F9" s="84">
        <f>B9*C9*(D9-E9)</f>
        <v>1456.6983287087826</v>
      </c>
    </row>
    <row r="11" spans="1:7" ht="16.5">
      <c r="A11" s="66" t="s">
        <v>186</v>
      </c>
      <c r="B11" s="66"/>
      <c r="C11" s="66"/>
      <c r="D11" s="66"/>
      <c r="E11" s="66"/>
      <c r="F11" s="88">
        <f>SUM(F5:F9)</f>
        <v>8216.158033631596</v>
      </c>
      <c r="G11" s="66" t="s">
        <v>65</v>
      </c>
    </row>
    <row r="13" spans="1:7" ht="29.25" customHeight="1">
      <c r="A13" s="89" t="s">
        <v>187</v>
      </c>
      <c r="B13" s="89"/>
      <c r="C13" s="89"/>
      <c r="D13" s="89"/>
      <c r="E13" s="89"/>
      <c r="F13" s="89"/>
      <c r="G13" s="89"/>
    </row>
    <row r="14" spans="1:3" ht="16.5">
      <c r="A14" s="89" t="s">
        <v>188</v>
      </c>
      <c r="B14" s="46">
        <f>'Огражд.конструкции'!J18</f>
        <v>778.8740499999999</v>
      </c>
      <c r="C14" t="s">
        <v>189</v>
      </c>
    </row>
    <row r="15" spans="1:3" ht="16.5">
      <c r="A15" s="89" t="s">
        <v>190</v>
      </c>
      <c r="B15">
        <v>1</v>
      </c>
      <c r="C15" t="s">
        <v>191</v>
      </c>
    </row>
    <row r="16" spans="1:2" ht="29.25">
      <c r="A16" s="89" t="s">
        <v>192</v>
      </c>
      <c r="B16">
        <v>22</v>
      </c>
    </row>
    <row r="17" spans="1:7" ht="29.25" customHeight="1">
      <c r="A17" s="74" t="s">
        <v>193</v>
      </c>
      <c r="B17">
        <v>8</v>
      </c>
      <c r="C17" s="89" t="s">
        <v>194</v>
      </c>
      <c r="D17" s="89"/>
      <c r="E17" s="89"/>
      <c r="F17" s="89"/>
      <c r="G17" s="89"/>
    </row>
    <row r="18" spans="1:7" ht="16.5">
      <c r="A18" s="66" t="s">
        <v>195</v>
      </c>
      <c r="B18" s="66"/>
      <c r="C18" s="66"/>
      <c r="D18" s="66"/>
      <c r="E18" s="66"/>
      <c r="F18" s="88">
        <f>(B16-B17)*0.34*B14*B15</f>
        <v>3707.440478</v>
      </c>
      <c r="G18" s="66" t="s">
        <v>65</v>
      </c>
    </row>
    <row r="19" spans="1:7" ht="16.5">
      <c r="A19" s="90" t="s">
        <v>196</v>
      </c>
      <c r="B19" s="90"/>
      <c r="C19" s="90"/>
      <c r="D19" s="90"/>
      <c r="E19" s="90"/>
      <c r="F19" s="91">
        <f>F11+F18</f>
        <v>11923.598511631597</v>
      </c>
      <c r="G19" s="90" t="s">
        <v>65</v>
      </c>
    </row>
    <row r="20" spans="1:7" ht="16.5">
      <c r="A20" s="92"/>
      <c r="B20" s="92"/>
      <c r="C20" s="92"/>
      <c r="D20" s="92"/>
      <c r="E20" s="92"/>
      <c r="F20" s="93">
        <v>12</v>
      </c>
      <c r="G20" s="94" t="s">
        <v>197</v>
      </c>
    </row>
    <row r="22" spans="1:6" ht="57.75" customHeight="1">
      <c r="A22" s="89" t="s">
        <v>198</v>
      </c>
      <c r="B22" s="89"/>
      <c r="C22" s="89"/>
      <c r="F22"/>
    </row>
    <row r="23" spans="1:4" ht="29.25">
      <c r="A23" s="89" t="s">
        <v>199</v>
      </c>
      <c r="C23" s="46">
        <f>B14-200</f>
        <v>578.8740499999999</v>
      </c>
      <c r="D23" t="s">
        <v>200</v>
      </c>
    </row>
    <row r="24" spans="1:7" ht="43.5" customHeight="1">
      <c r="A24" s="89" t="s">
        <v>201</v>
      </c>
      <c r="B24" s="89"/>
      <c r="C24" s="89"/>
      <c r="F24" s="88">
        <f>(D28-D29)*0.34*C23</f>
        <v>2755.440478</v>
      </c>
      <c r="G24" s="66" t="s">
        <v>65</v>
      </c>
    </row>
    <row r="25" spans="1:6" ht="57.75" customHeight="1">
      <c r="A25" s="89" t="s">
        <v>202</v>
      </c>
      <c r="B25" s="89"/>
      <c r="C25" s="89"/>
      <c r="D25" s="42">
        <f>(F18-F24-F27)*5</f>
        <v>2720</v>
      </c>
      <c r="E25" s="84" t="s">
        <v>65</v>
      </c>
      <c r="F25"/>
    </row>
    <row r="26" spans="1:4" ht="29.25">
      <c r="A26" s="89" t="s">
        <v>203</v>
      </c>
      <c r="C26" s="46">
        <v>600</v>
      </c>
      <c r="D26" t="s">
        <v>200</v>
      </c>
    </row>
    <row r="27" spans="1:7" ht="29.25" customHeight="1">
      <c r="A27" s="89" t="s">
        <v>204</v>
      </c>
      <c r="B27" s="89"/>
      <c r="C27" s="89"/>
      <c r="F27" s="88">
        <f>(D30-D31)*0.34*C26</f>
        <v>408.00000000000006</v>
      </c>
      <c r="G27" s="66" t="s">
        <v>65</v>
      </c>
    </row>
    <row r="28" spans="1:4" ht="16.5" customHeight="1">
      <c r="A28" s="89" t="s">
        <v>205</v>
      </c>
      <c r="B28" s="89"/>
      <c r="C28" s="89"/>
      <c r="D28" s="46">
        <v>22</v>
      </c>
    </row>
    <row r="29" spans="1:4" ht="16.5">
      <c r="A29" s="95" t="s">
        <v>206</v>
      </c>
      <c r="B29" s="95"/>
      <c r="C29" s="95"/>
      <c r="D29" s="46">
        <v>8</v>
      </c>
    </row>
    <row r="30" spans="1:4" ht="16.5" customHeight="1">
      <c r="A30" s="89" t="s">
        <v>207</v>
      </c>
      <c r="B30" s="89"/>
      <c r="C30" s="89"/>
      <c r="D30" s="46">
        <v>26</v>
      </c>
    </row>
    <row r="31" spans="1:4" ht="16.5">
      <c r="A31" s="95" t="s">
        <v>208</v>
      </c>
      <c r="B31" s="95"/>
      <c r="C31" s="95"/>
      <c r="D31" s="46">
        <v>24</v>
      </c>
    </row>
    <row r="32" ht="16.5">
      <c r="D32" s="46"/>
    </row>
    <row r="33" spans="1:7" ht="29.25" customHeight="1">
      <c r="A33" s="96" t="s">
        <v>209</v>
      </c>
      <c r="B33" s="96"/>
      <c r="C33" s="96"/>
      <c r="D33" s="46"/>
      <c r="E33" s="46"/>
      <c r="F33" s="97">
        <f>F11+F24+F27</f>
        <v>11379.598511631597</v>
      </c>
      <c r="G33" s="66" t="s">
        <v>65</v>
      </c>
    </row>
    <row r="34" spans="1:7" ht="16.5">
      <c r="A34" s="96"/>
      <c r="B34" s="46"/>
      <c r="C34" s="46"/>
      <c r="D34" s="46"/>
      <c r="E34" s="46"/>
      <c r="F34" s="97"/>
      <c r="G34" s="66"/>
    </row>
    <row r="35" spans="1:7" ht="16.5">
      <c r="A35" s="6" t="s">
        <v>210</v>
      </c>
      <c r="B35" s="6"/>
      <c r="C35" s="6"/>
      <c r="D35" s="6"/>
      <c r="E35" s="6"/>
      <c r="F35" s="6"/>
      <c r="G35" s="6"/>
    </row>
    <row r="36" spans="1:6" ht="78">
      <c r="A36" t="s">
        <v>174</v>
      </c>
      <c r="B36" s="86" t="s">
        <v>175</v>
      </c>
      <c r="C36" s="86" t="s">
        <v>2</v>
      </c>
      <c r="D36" s="86" t="s">
        <v>176</v>
      </c>
      <c r="E36" s="86" t="s">
        <v>176</v>
      </c>
      <c r="F36" s="87" t="s">
        <v>177</v>
      </c>
    </row>
    <row r="37" spans="3:6" ht="16.5">
      <c r="C37" t="s">
        <v>136</v>
      </c>
      <c r="D37" t="s">
        <v>178</v>
      </c>
      <c r="E37" t="s">
        <v>179</v>
      </c>
      <c r="F37" s="84" t="s">
        <v>180</v>
      </c>
    </row>
    <row r="39" spans="1:6" ht="16.5">
      <c r="A39" t="s">
        <v>181</v>
      </c>
      <c r="B39" s="42">
        <f>B5</f>
        <v>1.0526315789473684</v>
      </c>
      <c r="C39" s="46">
        <f>C5</f>
        <v>56.9624</v>
      </c>
      <c r="D39">
        <v>25</v>
      </c>
      <c r="E39">
        <v>40</v>
      </c>
      <c r="F39" s="84">
        <f>B39*C39*(D39-E39)</f>
        <v>-899.4063157894738</v>
      </c>
    </row>
    <row r="40" spans="1:6" ht="16.5">
      <c r="A40" t="s">
        <v>182</v>
      </c>
      <c r="B40" s="42">
        <f>B6</f>
        <v>0.21840537115431288</v>
      </c>
      <c r="C40" s="46">
        <f>C6</f>
        <v>244.3976</v>
      </c>
      <c r="D40" s="42">
        <f>D39</f>
        <v>25</v>
      </c>
      <c r="E40" s="42">
        <f>E39</f>
        <v>40</v>
      </c>
      <c r="F40" s="84">
        <f>B40*C40*(D39-E40)</f>
        <v>-800.6662280583495</v>
      </c>
    </row>
    <row r="41" spans="1:6" ht="16.5">
      <c r="A41" t="s">
        <v>183</v>
      </c>
      <c r="B41" s="42">
        <f>B7</f>
        <v>0.2286995515695068</v>
      </c>
      <c r="C41" s="46">
        <f>C7</f>
        <v>58.34</v>
      </c>
      <c r="D41">
        <v>25</v>
      </c>
      <c r="E41">
        <v>25</v>
      </c>
      <c r="F41" s="84">
        <f>B41*C41*(D41-E41)</f>
        <v>0</v>
      </c>
    </row>
    <row r="42" spans="1:6" ht="16.5">
      <c r="A42" t="s">
        <v>184</v>
      </c>
      <c r="B42" s="42">
        <f>B8</f>
        <v>0.3725006847439058</v>
      </c>
      <c r="C42" s="46">
        <f>C8</f>
        <v>183.02</v>
      </c>
      <c r="D42">
        <v>25</v>
      </c>
      <c r="E42">
        <v>12</v>
      </c>
      <c r="F42" s="84">
        <f>B42*C42*(D42-E42)</f>
        <v>886.2759791837852</v>
      </c>
    </row>
    <row r="43" spans="1:6" ht="16.5">
      <c r="A43" t="s">
        <v>185</v>
      </c>
      <c r="B43" s="42">
        <f>B9</f>
        <v>0.13551009872878622</v>
      </c>
      <c r="C43" s="46">
        <f>C9</f>
        <v>233.69000000000003</v>
      </c>
      <c r="D43">
        <v>25</v>
      </c>
      <c r="E43" s="42">
        <f>E40</f>
        <v>40</v>
      </c>
      <c r="F43" s="84">
        <f>B43*C43*(D43-E43)</f>
        <v>-475.0103245789508</v>
      </c>
    </row>
    <row r="45" spans="1:7" ht="16.5">
      <c r="A45" s="66" t="s">
        <v>211</v>
      </c>
      <c r="B45" s="66"/>
      <c r="C45" s="66"/>
      <c r="D45" s="66"/>
      <c r="E45" s="66"/>
      <c r="F45" s="88">
        <f>SUM(F39:F43)</f>
        <v>-1288.8068892429887</v>
      </c>
      <c r="G45" s="66" t="s">
        <v>65</v>
      </c>
    </row>
    <row r="47" spans="1:3" ht="16.5">
      <c r="A47" s="89" t="s">
        <v>188</v>
      </c>
      <c r="B47" s="46">
        <f>B14</f>
        <v>778.8740499999999</v>
      </c>
      <c r="C47" t="s">
        <v>189</v>
      </c>
    </row>
    <row r="48" spans="1:2" ht="29.25">
      <c r="A48" s="89" t="s">
        <v>192</v>
      </c>
      <c r="B48">
        <v>25</v>
      </c>
    </row>
    <row r="49" spans="1:3" ht="29.25">
      <c r="A49" s="74" t="s">
        <v>212</v>
      </c>
      <c r="B49">
        <v>40</v>
      </c>
      <c r="C49" t="s">
        <v>213</v>
      </c>
    </row>
    <row r="50" spans="1:3" ht="16.5">
      <c r="A50" t="s">
        <v>190</v>
      </c>
      <c r="B50">
        <v>1</v>
      </c>
      <c r="C50" t="s">
        <v>214</v>
      </c>
    </row>
    <row r="52" spans="1:7" ht="16.5">
      <c r="A52" s="66" t="s">
        <v>195</v>
      </c>
      <c r="B52" s="66"/>
      <c r="C52" s="66"/>
      <c r="D52" s="66"/>
      <c r="E52" s="66"/>
      <c r="F52" s="88">
        <f>(B48-B49)*0.34*B50*B47</f>
        <v>-3972.257655</v>
      </c>
      <c r="G52" s="66" t="s">
        <v>65</v>
      </c>
    </row>
    <row r="54" spans="1:7" ht="16.5">
      <c r="A54" s="90" t="s">
        <v>196</v>
      </c>
      <c r="B54" s="90"/>
      <c r="C54" s="90"/>
      <c r="D54" s="90"/>
      <c r="E54" s="90"/>
      <c r="F54" s="91">
        <f>F45+F52</f>
        <v>-5261.064544242989</v>
      </c>
      <c r="G54" s="90" t="s">
        <v>65</v>
      </c>
    </row>
    <row r="55" spans="1:7" ht="16.5">
      <c r="A55" s="92"/>
      <c r="B55" s="92"/>
      <c r="C55" s="92"/>
      <c r="D55" s="92"/>
      <c r="E55" s="92"/>
      <c r="F55" s="93">
        <v>6</v>
      </c>
      <c r="G55" s="94" t="s">
        <v>197</v>
      </c>
    </row>
  </sheetData>
  <mergeCells count="13">
    <mergeCell ref="A1:G1"/>
    <mergeCell ref="A13:G13"/>
    <mergeCell ref="C17:G17"/>
    <mergeCell ref="A22:C22"/>
    <mergeCell ref="A24:C24"/>
    <mergeCell ref="A25:C25"/>
    <mergeCell ref="A27:C27"/>
    <mergeCell ref="A28:C28"/>
    <mergeCell ref="A29:C29"/>
    <mergeCell ref="A30:C30"/>
    <mergeCell ref="A31:C31"/>
    <mergeCell ref="A33:C33"/>
    <mergeCell ref="A35:G35"/>
  </mergeCells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71"/>
  <sheetViews>
    <sheetView view="pageBreakPreview" zoomScaleSheetLayoutView="100" workbookViewId="0" topLeftCell="A1">
      <selection activeCell="I271" sqref="A1:IV65536"/>
    </sheetView>
  </sheetViews>
  <sheetFormatPr defaultColWidth="9.77734375" defaultRowHeight="16.5"/>
  <cols>
    <col min="1" max="1" width="28.10546875" style="0" customWidth="1"/>
    <col min="2" max="2" width="6.4453125" style="0" customWidth="1"/>
    <col min="3" max="3" width="2.77734375" style="0" customWidth="1"/>
    <col min="4" max="4" width="5.6640625" style="0" customWidth="1"/>
    <col min="5" max="5" width="2.5546875" style="0" customWidth="1"/>
    <col min="6" max="6" width="5.5546875" style="0" customWidth="1"/>
    <col min="7" max="7" width="2.3359375" style="0" customWidth="1"/>
    <col min="8" max="8" width="4.5546875" style="0" customWidth="1"/>
    <col min="9" max="9" width="14.77734375" style="0" customWidth="1"/>
    <col min="10" max="10" width="2.21484375" style="0" customWidth="1"/>
    <col min="11" max="11" width="27.88671875" style="0" customWidth="1"/>
    <col min="12" max="12" width="5.4453125" style="0" customWidth="1"/>
    <col min="13" max="13" width="2.5546875" style="0" customWidth="1"/>
    <col min="14" max="14" width="5.6640625" style="0" customWidth="1"/>
    <col min="15" max="15" width="2.5546875" style="0" customWidth="1"/>
    <col min="16" max="16" width="5.6640625" style="0" customWidth="1"/>
    <col min="17" max="17" width="2.4453125" style="0" customWidth="1"/>
    <col min="18" max="18" width="4.21484375" style="0" customWidth="1"/>
    <col min="19" max="19" width="7.10546875" style="0" customWidth="1"/>
    <col min="20" max="20" width="2.99609375" style="0" customWidth="1"/>
  </cols>
  <sheetData>
    <row r="1" ht="16.5">
      <c r="A1" t="s">
        <v>215</v>
      </c>
    </row>
    <row r="2" spans="1:10" ht="16.5">
      <c r="A2" s="98" t="s">
        <v>216</v>
      </c>
      <c r="B2" s="99"/>
      <c r="C2" s="99"/>
      <c r="D2" s="100"/>
      <c r="E2" s="100"/>
      <c r="F2" s="101"/>
      <c r="G2" s="101"/>
      <c r="H2" s="100"/>
      <c r="I2" s="100"/>
      <c r="J2" s="100"/>
    </row>
    <row r="3" spans="2:7" ht="16.5">
      <c r="B3" s="102"/>
      <c r="C3" s="102"/>
      <c r="F3" s="103"/>
      <c r="G3" s="103"/>
    </row>
    <row r="4" spans="1:9" ht="16.5">
      <c r="A4" t="s">
        <v>217</v>
      </c>
      <c r="B4" s="46"/>
      <c r="C4" s="46"/>
      <c r="G4" s="95"/>
      <c r="H4" s="46"/>
      <c r="I4" s="46"/>
    </row>
    <row r="5" spans="1:9" ht="16.5">
      <c r="A5" s="95" t="s">
        <v>218</v>
      </c>
      <c r="B5" s="46"/>
      <c r="C5" s="46"/>
      <c r="F5" s="95"/>
      <c r="G5" s="95"/>
      <c r="H5" s="46"/>
      <c r="I5" s="46"/>
    </row>
    <row r="6" spans="1:9" ht="16.5">
      <c r="A6" s="95" t="s">
        <v>219</v>
      </c>
      <c r="B6" s="46"/>
      <c r="C6" s="46"/>
      <c r="F6" s="95"/>
      <c r="G6" s="95"/>
      <c r="H6" s="46"/>
      <c r="I6" s="46"/>
    </row>
    <row r="7" spans="1:10" ht="16.5">
      <c r="A7" s="104" t="s">
        <v>220</v>
      </c>
      <c r="B7" s="105"/>
      <c r="C7" s="105"/>
      <c r="D7" s="104"/>
      <c r="E7" s="104"/>
      <c r="F7" s="104"/>
      <c r="G7" s="104"/>
      <c r="H7" s="105"/>
      <c r="I7" s="105"/>
      <c r="J7" s="104"/>
    </row>
    <row r="8" spans="1:9" ht="16.5">
      <c r="A8" s="104" t="s">
        <v>221</v>
      </c>
      <c r="B8" s="46"/>
      <c r="C8" s="46"/>
      <c r="F8" s="95"/>
      <c r="G8" s="95"/>
      <c r="H8" s="46"/>
      <c r="I8" s="46"/>
    </row>
    <row r="9" spans="1:9" ht="16.5">
      <c r="A9" s="46" t="s">
        <v>222</v>
      </c>
      <c r="B9" s="46"/>
      <c r="C9" s="46"/>
      <c r="G9" s="95"/>
      <c r="H9" s="46"/>
      <c r="I9" s="46"/>
    </row>
    <row r="10" spans="1:9" ht="16.5">
      <c r="A10" s="46"/>
      <c r="B10" s="46"/>
      <c r="C10" s="46"/>
      <c r="G10" s="95"/>
      <c r="H10" s="46"/>
      <c r="I10" s="46"/>
    </row>
    <row r="11" spans="1:10" ht="43.5" customHeight="1">
      <c r="A11" s="106" t="s">
        <v>223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9" ht="16.5">
      <c r="A12" s="95"/>
      <c r="B12" s="95"/>
      <c r="C12" s="95"/>
      <c r="D12" s="95"/>
      <c r="E12" s="95"/>
      <c r="F12" s="95"/>
      <c r="G12" s="95"/>
      <c r="H12" s="95"/>
      <c r="I12" s="95"/>
    </row>
    <row r="13" spans="1:20" ht="16.5">
      <c r="A13" s="107"/>
      <c r="B13" s="107">
        <v>3600</v>
      </c>
      <c r="C13" s="107" t="s">
        <v>224</v>
      </c>
      <c r="D13" s="108"/>
      <c r="E13" s="108"/>
      <c r="F13" s="108"/>
      <c r="G13" s="108"/>
      <c r="H13" s="108"/>
      <c r="I13" s="108"/>
      <c r="J13" s="108"/>
      <c r="K13" s="108"/>
      <c r="L13" s="107">
        <v>3600</v>
      </c>
      <c r="M13" s="107" t="s">
        <v>224</v>
      </c>
      <c r="N13" s="108"/>
      <c r="O13" s="22"/>
      <c r="P13" s="108"/>
      <c r="Q13" s="108"/>
      <c r="R13" s="22"/>
      <c r="S13" s="108"/>
      <c r="T13" s="95"/>
    </row>
    <row r="14" spans="1:20" ht="16.5">
      <c r="A14" s="73" t="s">
        <v>225</v>
      </c>
      <c r="B14" s="72"/>
      <c r="C14" s="72"/>
      <c r="D14" s="72"/>
      <c r="E14" s="72"/>
      <c r="F14" s="72" t="s">
        <v>226</v>
      </c>
      <c r="G14" s="72"/>
      <c r="H14" s="73">
        <f>SUM(H29:H225)</f>
        <v>960</v>
      </c>
      <c r="I14" s="73" t="s">
        <v>227</v>
      </c>
      <c r="J14" s="72"/>
      <c r="K14" s="109" t="s">
        <v>228</v>
      </c>
      <c r="L14" s="110"/>
      <c r="M14" s="110"/>
      <c r="N14" s="110"/>
      <c r="O14" s="110"/>
      <c r="P14" s="110"/>
      <c r="Q14" s="110"/>
      <c r="R14" s="109">
        <f>SUM(R29:R225)</f>
        <v>960</v>
      </c>
      <c r="S14" s="109" t="s">
        <v>227</v>
      </c>
      <c r="T14" s="95"/>
    </row>
    <row r="15" spans="1:11" ht="16.5">
      <c r="A15" s="72" t="s">
        <v>229</v>
      </c>
      <c r="B15" s="73">
        <v>3</v>
      </c>
      <c r="C15" s="72" t="s">
        <v>230</v>
      </c>
      <c r="D15" s="73">
        <v>3.5</v>
      </c>
      <c r="E15" s="72" t="s">
        <v>230</v>
      </c>
      <c r="F15" s="73">
        <v>4</v>
      </c>
      <c r="G15" s="72" t="s">
        <v>230</v>
      </c>
      <c r="K15" s="111" t="s">
        <v>231</v>
      </c>
    </row>
    <row r="16" spans="1:13" ht="16.5">
      <c r="A16" s="46" t="s">
        <v>232</v>
      </c>
      <c r="K16" s="46" t="s">
        <v>233</v>
      </c>
      <c r="L16" s="46">
        <v>400</v>
      </c>
      <c r="M16" t="s">
        <v>76</v>
      </c>
    </row>
    <row r="17" spans="1:3" ht="16.5">
      <c r="A17" t="s">
        <v>234</v>
      </c>
      <c r="B17">
        <v>3</v>
      </c>
      <c r="C17" t="s">
        <v>230</v>
      </c>
    </row>
    <row r="18" spans="1:3" ht="16.5">
      <c r="A18" t="s">
        <v>235</v>
      </c>
      <c r="B18" s="103">
        <f>H14/(B13*B17)</f>
        <v>0.08888888888888889</v>
      </c>
      <c r="C18" t="s">
        <v>236</v>
      </c>
    </row>
    <row r="19" spans="1:5" ht="16.5">
      <c r="A19" t="s">
        <v>237</v>
      </c>
      <c r="B19" s="103">
        <f>B18/0.2</f>
        <v>0.4444444444444444</v>
      </c>
      <c r="C19" t="s">
        <v>238</v>
      </c>
      <c r="D19" s="103">
        <f>B18/0.44</f>
        <v>0.20202020202020202</v>
      </c>
      <c r="E19" t="s">
        <v>238</v>
      </c>
    </row>
    <row r="20" spans="1:4" ht="16.5">
      <c r="A20" t="s">
        <v>239</v>
      </c>
      <c r="B20" s="112">
        <f>(SQRT(B18/PI()))*2</f>
        <v>0.33641766960268804</v>
      </c>
      <c r="C20" t="s">
        <v>238</v>
      </c>
      <c r="D20" s="103"/>
    </row>
    <row r="21" spans="1:7" ht="16.5">
      <c r="A21" s="73" t="s">
        <v>240</v>
      </c>
      <c r="B21" s="73">
        <v>500</v>
      </c>
      <c r="C21" s="113" t="s">
        <v>76</v>
      </c>
      <c r="D21" s="73">
        <v>200</v>
      </c>
      <c r="E21" s="113" t="s">
        <v>76</v>
      </c>
      <c r="F21" s="72"/>
      <c r="G21" s="72"/>
    </row>
    <row r="22" spans="1:10" ht="16.5">
      <c r="A22" s="46" t="s">
        <v>241</v>
      </c>
      <c r="D22" s="46"/>
      <c r="E22" s="46"/>
      <c r="F22" s="46"/>
      <c r="G22" s="46"/>
      <c r="H22" s="46"/>
      <c r="I22" s="46"/>
      <c r="J22" s="46"/>
    </row>
    <row r="23" spans="1:10" ht="16.5">
      <c r="A23" t="s">
        <v>242</v>
      </c>
      <c r="B23">
        <v>1</v>
      </c>
      <c r="F23" s="46"/>
      <c r="G23" s="46"/>
      <c r="I23" s="46"/>
      <c r="J23" s="46"/>
    </row>
    <row r="24" spans="1:10" ht="16.5">
      <c r="A24" t="s">
        <v>243</v>
      </c>
      <c r="B24">
        <v>0.7</v>
      </c>
      <c r="D24" s="46"/>
      <c r="E24" s="46"/>
      <c r="F24" s="46"/>
      <c r="G24" s="46"/>
      <c r="H24" s="46"/>
      <c r="I24" s="46"/>
      <c r="J24" s="46"/>
    </row>
    <row r="25" spans="1:10" ht="16.5">
      <c r="A25" s="46" t="s">
        <v>244</v>
      </c>
      <c r="D25" s="80">
        <f>H14/B13/B23/B24</f>
        <v>0.38095238095238093</v>
      </c>
      <c r="E25" s="46" t="s">
        <v>236</v>
      </c>
      <c r="F25" s="46"/>
      <c r="G25" s="46"/>
      <c r="H25" s="46"/>
      <c r="I25" s="46"/>
      <c r="J25" s="46"/>
    </row>
    <row r="26" spans="1:10" ht="16.5">
      <c r="A26" t="s">
        <v>245</v>
      </c>
      <c r="B26" s="42">
        <f>D25/0.5</f>
        <v>0.7619047619047619</v>
      </c>
      <c r="C26" t="s">
        <v>238</v>
      </c>
      <c r="D26" s="42">
        <f>D25/0.75</f>
        <v>0.5079365079365079</v>
      </c>
      <c r="E26" t="s">
        <v>238</v>
      </c>
      <c r="F26" s="46"/>
      <c r="G26" s="46"/>
      <c r="H26" s="46"/>
      <c r="I26" s="46"/>
      <c r="J26" s="46"/>
    </row>
    <row r="27" spans="1:10" ht="16.5">
      <c r="A27" s="107" t="s">
        <v>246</v>
      </c>
      <c r="B27" s="107">
        <v>500</v>
      </c>
      <c r="C27" s="107" t="s">
        <v>76</v>
      </c>
      <c r="D27" s="107">
        <v>750</v>
      </c>
      <c r="E27" s="107" t="s">
        <v>76</v>
      </c>
      <c r="F27" s="107"/>
      <c r="G27" s="107"/>
      <c r="H27" s="107"/>
      <c r="I27" s="107"/>
      <c r="J27" s="46"/>
    </row>
    <row r="28" spans="1:10" ht="16.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9" ht="16.5">
      <c r="A29" s="107" t="s">
        <v>247</v>
      </c>
      <c r="B29" s="108" t="s">
        <v>121</v>
      </c>
      <c r="C29" s="108" t="s">
        <v>248</v>
      </c>
      <c r="D29" s="108"/>
      <c r="E29" s="108"/>
      <c r="F29" s="108"/>
      <c r="G29" s="108"/>
      <c r="H29" s="108"/>
      <c r="I29" s="108"/>
      <c r="J29" s="108"/>
      <c r="K29" s="107" t="s">
        <v>247</v>
      </c>
      <c r="L29" s="108" t="s">
        <v>121</v>
      </c>
      <c r="M29" s="108"/>
      <c r="N29" s="108"/>
      <c r="O29" s="108"/>
      <c r="P29" s="108"/>
      <c r="Q29" s="108"/>
      <c r="R29" s="108"/>
      <c r="S29" s="108"/>
    </row>
    <row r="30" spans="2:6" ht="16.5">
      <c r="B30" t="s">
        <v>249</v>
      </c>
      <c r="F30" t="s">
        <v>250</v>
      </c>
    </row>
    <row r="31" spans="1:11" ht="16.5">
      <c r="A31" t="s">
        <v>251</v>
      </c>
      <c r="B31" s="42">
        <f>Площади!F7</f>
        <v>121.89689999999999</v>
      </c>
      <c r="C31" t="s">
        <v>24</v>
      </c>
      <c r="F31">
        <v>70</v>
      </c>
      <c r="G31" t="s">
        <v>227</v>
      </c>
      <c r="K31" t="s">
        <v>252</v>
      </c>
    </row>
    <row r="32" spans="1:13" ht="16.5">
      <c r="A32" t="s">
        <v>29</v>
      </c>
      <c r="B32" s="42">
        <f>Площади!F11</f>
        <v>29.525100000000002</v>
      </c>
      <c r="C32" t="s">
        <v>24</v>
      </c>
      <c r="F32">
        <v>40</v>
      </c>
      <c r="G32" t="s">
        <v>227</v>
      </c>
      <c r="K32" t="s">
        <v>253</v>
      </c>
      <c r="L32" t="s">
        <v>254</v>
      </c>
      <c r="M32" t="s">
        <v>255</v>
      </c>
    </row>
    <row r="33" spans="1:13" ht="16.5">
      <c r="A33" t="s">
        <v>256</v>
      </c>
      <c r="B33" s="42">
        <f>Площади!F9</f>
        <v>27.2987</v>
      </c>
      <c r="C33" t="s">
        <v>24</v>
      </c>
      <c r="F33">
        <v>10</v>
      </c>
      <c r="G33" t="s">
        <v>227</v>
      </c>
      <c r="K33" t="s">
        <v>257</v>
      </c>
      <c r="L33" t="s">
        <v>258</v>
      </c>
      <c r="M33" t="s">
        <v>259</v>
      </c>
    </row>
    <row r="34" spans="1:12" ht="16.5">
      <c r="A34" t="s">
        <v>28</v>
      </c>
      <c r="B34" s="42">
        <f>Площади!F10</f>
        <v>16.5209</v>
      </c>
      <c r="C34" t="s">
        <v>24</v>
      </c>
      <c r="F34">
        <v>10</v>
      </c>
      <c r="G34" t="s">
        <v>227</v>
      </c>
      <c r="K34" t="s">
        <v>260</v>
      </c>
      <c r="L34" t="s">
        <v>254</v>
      </c>
    </row>
    <row r="35" spans="1:13" ht="16.5">
      <c r="A35" t="s">
        <v>261</v>
      </c>
      <c r="B35" s="42">
        <f>Площади!F16</f>
        <v>3.3600000000000003</v>
      </c>
      <c r="C35" t="s">
        <v>24</v>
      </c>
      <c r="F35">
        <v>10</v>
      </c>
      <c r="G35" t="s">
        <v>227</v>
      </c>
      <c r="K35" t="s">
        <v>262</v>
      </c>
      <c r="L35" s="42">
        <f>Площади!F8</f>
        <v>26.6156</v>
      </c>
      <c r="M35" t="s">
        <v>24</v>
      </c>
    </row>
    <row r="36" spans="1:7" ht="16.5">
      <c r="A36" t="s">
        <v>263</v>
      </c>
      <c r="B36" s="42">
        <f>Площади!F38</f>
        <v>40.804</v>
      </c>
      <c r="C36" t="s">
        <v>24</v>
      </c>
      <c r="F36">
        <v>10</v>
      </c>
      <c r="G36" t="s">
        <v>227</v>
      </c>
    </row>
    <row r="37" spans="1:19" ht="16.5">
      <c r="A37" s="73" t="s">
        <v>225</v>
      </c>
      <c r="B37" s="72">
        <v>3600</v>
      </c>
      <c r="C37" s="72" t="s">
        <v>224</v>
      </c>
      <c r="D37" s="114" t="s">
        <v>226</v>
      </c>
      <c r="E37" s="73"/>
      <c r="F37" s="73"/>
      <c r="G37" s="73"/>
      <c r="H37" s="73">
        <f>SUM(F31:F36)</f>
        <v>150</v>
      </c>
      <c r="I37" s="73" t="s">
        <v>227</v>
      </c>
      <c r="J37" s="72"/>
      <c r="K37" s="109" t="s">
        <v>228</v>
      </c>
      <c r="L37" s="110">
        <v>3600</v>
      </c>
      <c r="M37" s="110" t="s">
        <v>224</v>
      </c>
      <c r="N37" s="115" t="s">
        <v>226</v>
      </c>
      <c r="O37" s="109"/>
      <c r="P37" s="109"/>
      <c r="Q37" s="109"/>
      <c r="R37" s="109">
        <f>H37+20</f>
        <v>170</v>
      </c>
      <c r="S37" s="109" t="s">
        <v>227</v>
      </c>
    </row>
    <row r="38" spans="1:14" ht="16.5">
      <c r="A38" s="116" t="s">
        <v>264</v>
      </c>
      <c r="B38" s="116">
        <v>0.6000000000000001</v>
      </c>
      <c r="C38" s="117"/>
      <c r="D38" s="116">
        <v>1.2</v>
      </c>
      <c r="E38" s="117"/>
      <c r="K38" s="111" t="s">
        <v>265</v>
      </c>
      <c r="L38" s="111">
        <v>1</v>
      </c>
      <c r="M38" s="111"/>
      <c r="N38" s="111">
        <v>2</v>
      </c>
    </row>
    <row r="39" spans="1:19" ht="16.5">
      <c r="A39" t="s">
        <v>266</v>
      </c>
      <c r="B39" s="46">
        <v>3</v>
      </c>
      <c r="C39" s="46" t="s">
        <v>120</v>
      </c>
      <c r="E39" t="s">
        <v>267</v>
      </c>
      <c r="I39" s="46"/>
      <c r="K39" t="s">
        <v>266</v>
      </c>
      <c r="L39" s="46">
        <v>4</v>
      </c>
      <c r="M39" s="46" t="s">
        <v>120</v>
      </c>
      <c r="N39" t="s">
        <v>268</v>
      </c>
      <c r="Q39" s="46"/>
      <c r="S39" s="46"/>
    </row>
    <row r="40" spans="1:13" ht="16.5">
      <c r="A40" t="s">
        <v>269</v>
      </c>
      <c r="B40" s="42">
        <f>H37/B39</f>
        <v>50</v>
      </c>
      <c r="C40" t="s">
        <v>227</v>
      </c>
      <c r="I40" s="46"/>
      <c r="K40" t="s">
        <v>269</v>
      </c>
      <c r="L40" s="42">
        <f>R37/L39</f>
        <v>42.5</v>
      </c>
      <c r="M40" t="s">
        <v>227</v>
      </c>
    </row>
    <row r="41" spans="1:13" ht="16.5">
      <c r="A41" t="s">
        <v>270</v>
      </c>
      <c r="B41">
        <v>2.5</v>
      </c>
      <c r="C41" t="s">
        <v>230</v>
      </c>
      <c r="K41" t="s">
        <v>270</v>
      </c>
      <c r="L41">
        <v>2.5</v>
      </c>
      <c r="M41" t="s">
        <v>230</v>
      </c>
    </row>
    <row r="42" spans="1:17" ht="16.5">
      <c r="A42" t="s">
        <v>271</v>
      </c>
      <c r="B42">
        <v>0.6000000000000001</v>
      </c>
      <c r="D42" s="46"/>
      <c r="K42" t="s">
        <v>272</v>
      </c>
      <c r="L42">
        <v>1</v>
      </c>
      <c r="Q42" s="46"/>
    </row>
    <row r="43" spans="1:12" ht="16.5">
      <c r="A43" t="s">
        <v>273</v>
      </c>
      <c r="B43">
        <v>0.7</v>
      </c>
      <c r="K43" t="s">
        <v>273</v>
      </c>
      <c r="L43">
        <v>0.4</v>
      </c>
    </row>
    <row r="44" spans="1:11" ht="16.5">
      <c r="A44" s="117" t="s">
        <v>274</v>
      </c>
      <c r="D44" s="117"/>
      <c r="K44" s="118" t="s">
        <v>275</v>
      </c>
    </row>
    <row r="45" spans="1:11" ht="16.5">
      <c r="A45" s="73" t="s">
        <v>276</v>
      </c>
      <c r="B45" s="119">
        <f>B40/B37/B42/B43</f>
        <v>0.03306878306878306</v>
      </c>
      <c r="C45" s="73" t="s">
        <v>236</v>
      </c>
      <c r="K45" s="118" t="s">
        <v>277</v>
      </c>
    </row>
    <row r="46" spans="1:13" ht="16.5">
      <c r="A46" t="s">
        <v>237</v>
      </c>
      <c r="B46" s="103">
        <f>B45/0.1</f>
        <v>0.3306878306878306</v>
      </c>
      <c r="C46" t="s">
        <v>238</v>
      </c>
      <c r="D46" s="103">
        <f>B45/0.3</f>
        <v>0.11022927689594351</v>
      </c>
      <c r="E46" t="s">
        <v>238</v>
      </c>
      <c r="K46" s="109" t="s">
        <v>278</v>
      </c>
      <c r="L46" s="120">
        <f>L40/L37/L42/L43</f>
        <v>0.029513888888888888</v>
      </c>
      <c r="M46" s="109" t="s">
        <v>236</v>
      </c>
    </row>
    <row r="47" spans="2:15" ht="16.5">
      <c r="B47" t="s">
        <v>99</v>
      </c>
      <c r="D47" t="s">
        <v>98</v>
      </c>
      <c r="F47" t="s">
        <v>279</v>
      </c>
      <c r="K47" t="s">
        <v>280</v>
      </c>
      <c r="L47" s="103">
        <f>(SQRT(L46/PI()))*2</f>
        <v>0.19385110382005327</v>
      </c>
      <c r="M47" t="s">
        <v>281</v>
      </c>
      <c r="N47" s="46">
        <v>150</v>
      </c>
      <c r="O47" s="95" t="s">
        <v>76</v>
      </c>
    </row>
    <row r="48" spans="1:11" ht="16.5">
      <c r="A48" s="46" t="s">
        <v>282</v>
      </c>
      <c r="B48" s="46">
        <v>110</v>
      </c>
      <c r="C48" s="95" t="s">
        <v>76</v>
      </c>
      <c r="D48" s="46">
        <v>330</v>
      </c>
      <c r="E48" s="95" t="s">
        <v>76</v>
      </c>
      <c r="F48" s="46"/>
      <c r="G48" s="95"/>
      <c r="K48" s="118" t="s">
        <v>283</v>
      </c>
    </row>
    <row r="49" spans="1:13" ht="16.5">
      <c r="A49" s="46"/>
      <c r="B49" s="46"/>
      <c r="C49" s="95"/>
      <c r="D49" s="46"/>
      <c r="E49" s="95"/>
      <c r="F49" s="46"/>
      <c r="G49" s="95"/>
      <c r="K49" s="109" t="s">
        <v>276</v>
      </c>
      <c r="L49" s="120">
        <f>L40/L37/L42/L43</f>
        <v>0.029513888888888888</v>
      </c>
      <c r="M49" s="109" t="s">
        <v>236</v>
      </c>
    </row>
    <row r="50" spans="1:15" ht="16.5">
      <c r="A50" s="107" t="s">
        <v>30</v>
      </c>
      <c r="B50" s="108" t="s">
        <v>121</v>
      </c>
      <c r="C50" s="108"/>
      <c r="D50" s="108"/>
      <c r="E50" s="108"/>
      <c r="F50" s="108"/>
      <c r="G50" s="108"/>
      <c r="H50" s="108"/>
      <c r="I50" s="108"/>
      <c r="J50" s="108"/>
      <c r="K50" t="s">
        <v>237</v>
      </c>
      <c r="L50" s="103">
        <f>L49/0.1</f>
        <v>0.29513888888888884</v>
      </c>
      <c r="M50" t="s">
        <v>238</v>
      </c>
      <c r="N50" s="103">
        <f>L49/0.3</f>
        <v>0.09837962962962961</v>
      </c>
      <c r="O50" t="s">
        <v>238</v>
      </c>
    </row>
    <row r="51" spans="1:16" ht="16.5">
      <c r="A51" t="s">
        <v>249</v>
      </c>
      <c r="B51" s="42">
        <f>Площади!F12</f>
        <v>29.694</v>
      </c>
      <c r="C51" t="s">
        <v>24</v>
      </c>
      <c r="L51" t="s">
        <v>99</v>
      </c>
      <c r="N51" t="s">
        <v>98</v>
      </c>
      <c r="P51" t="s">
        <v>279</v>
      </c>
    </row>
    <row r="52" spans="11:19" ht="16.5">
      <c r="K52" s="46" t="s">
        <v>284</v>
      </c>
      <c r="P52" s="46"/>
      <c r="R52" s="46"/>
      <c r="S52" s="117"/>
    </row>
    <row r="53" spans="1:18" ht="16.5">
      <c r="A53" s="73" t="s">
        <v>225</v>
      </c>
      <c r="B53" s="72">
        <v>3600</v>
      </c>
      <c r="C53" s="72" t="s">
        <v>224</v>
      </c>
      <c r="D53" s="114" t="s">
        <v>226</v>
      </c>
      <c r="E53" s="73"/>
      <c r="F53" s="73"/>
      <c r="G53" s="73"/>
      <c r="H53" s="73">
        <v>40</v>
      </c>
      <c r="I53" s="73" t="s">
        <v>227</v>
      </c>
      <c r="J53" s="72"/>
      <c r="K53" s="46"/>
      <c r="L53" s="46">
        <v>110</v>
      </c>
      <c r="M53" s="95" t="s">
        <v>76</v>
      </c>
      <c r="N53" s="46">
        <v>330</v>
      </c>
      <c r="O53" s="95" t="s">
        <v>76</v>
      </c>
      <c r="Q53" s="46"/>
      <c r="R53" s="46"/>
    </row>
    <row r="54" spans="1:18" ht="16.5">
      <c r="A54" s="116" t="s">
        <v>264</v>
      </c>
      <c r="B54" s="116">
        <v>0.6000000000000001</v>
      </c>
      <c r="C54" s="117"/>
      <c r="D54" s="116">
        <v>1.2</v>
      </c>
      <c r="E54" s="117"/>
      <c r="K54" s="118" t="s">
        <v>285</v>
      </c>
      <c r="Q54" s="46"/>
      <c r="R54" s="46"/>
    </row>
    <row r="55" spans="1:18" ht="16.5">
      <c r="A55" t="s">
        <v>266</v>
      </c>
      <c r="B55" s="46">
        <v>1</v>
      </c>
      <c r="C55" s="46" t="s">
        <v>120</v>
      </c>
      <c r="D55" s="46"/>
      <c r="E55" t="s">
        <v>267</v>
      </c>
      <c r="K55" s="109" t="s">
        <v>286</v>
      </c>
      <c r="L55" s="120">
        <f>(L40*P56)/L37/L41</f>
        <v>0.004722222222222222</v>
      </c>
      <c r="M55" s="109" t="s">
        <v>236</v>
      </c>
      <c r="N55" t="s">
        <v>287</v>
      </c>
      <c r="P55" s="110"/>
      <c r="Q55" s="110"/>
      <c r="R55" s="110"/>
    </row>
    <row r="56" spans="1:16" ht="16.5">
      <c r="A56" t="s">
        <v>269</v>
      </c>
      <c r="B56" s="42">
        <f>H53/B55</f>
        <v>40</v>
      </c>
      <c r="C56" t="s">
        <v>227</v>
      </c>
      <c r="K56" t="s">
        <v>237</v>
      </c>
      <c r="L56" s="103">
        <f>L55/0.05</f>
        <v>0.09444444444444444</v>
      </c>
      <c r="M56" t="s">
        <v>238</v>
      </c>
      <c r="N56" s="103">
        <f>L55/0.1</f>
        <v>0.04722222222222222</v>
      </c>
      <c r="O56" t="s">
        <v>238</v>
      </c>
      <c r="P56">
        <v>1</v>
      </c>
    </row>
    <row r="57" spans="1:15" ht="16.5">
      <c r="A57" t="s">
        <v>270</v>
      </c>
      <c r="B57">
        <v>2.5</v>
      </c>
      <c r="C57" t="s">
        <v>230</v>
      </c>
      <c r="K57" s="46" t="s">
        <v>288</v>
      </c>
      <c r="L57" s="46">
        <v>50</v>
      </c>
      <c r="M57" s="95" t="s">
        <v>76</v>
      </c>
      <c r="N57" s="46">
        <v>100</v>
      </c>
      <c r="O57" s="95" t="s">
        <v>76</v>
      </c>
    </row>
    <row r="58" spans="1:15" ht="16.5">
      <c r="A58" t="s">
        <v>289</v>
      </c>
      <c r="B58">
        <v>0.6000000000000001</v>
      </c>
      <c r="D58" s="46"/>
      <c r="K58" s="108" t="s">
        <v>290</v>
      </c>
      <c r="L58" s="108">
        <v>5018</v>
      </c>
      <c r="M58" s="22" t="s">
        <v>76</v>
      </c>
      <c r="N58" s="108"/>
      <c r="O58" s="22"/>
    </row>
    <row r="59" spans="1:18" ht="16.5">
      <c r="A59" t="s">
        <v>273</v>
      </c>
      <c r="B59">
        <v>0.7</v>
      </c>
      <c r="K59" s="109" t="s">
        <v>286</v>
      </c>
      <c r="L59" s="120">
        <f>(L40*P60)/L37/L41</f>
        <v>0.009444444444444445</v>
      </c>
      <c r="M59" s="109" t="s">
        <v>236</v>
      </c>
      <c r="N59" t="s">
        <v>291</v>
      </c>
      <c r="P59" s="110"/>
      <c r="Q59" s="110"/>
      <c r="R59" s="110"/>
    </row>
    <row r="60" spans="1:16" ht="16.5">
      <c r="A60" s="73" t="s">
        <v>276</v>
      </c>
      <c r="B60" s="119">
        <f>B56/B53/B58/B59</f>
        <v>0.02645502645502645</v>
      </c>
      <c r="C60" s="73" t="s">
        <v>236</v>
      </c>
      <c r="K60" t="s">
        <v>237</v>
      </c>
      <c r="L60" s="103">
        <f>L59/0.05</f>
        <v>0.18888888888888888</v>
      </c>
      <c r="M60" t="s">
        <v>238</v>
      </c>
      <c r="N60" s="103">
        <f>L59/0.2</f>
        <v>0.04722222222222222</v>
      </c>
      <c r="O60" t="s">
        <v>238</v>
      </c>
      <c r="P60">
        <v>2</v>
      </c>
    </row>
    <row r="61" spans="1:18" ht="16.5">
      <c r="A61" t="s">
        <v>237</v>
      </c>
      <c r="B61" s="103">
        <f>B60/0.1</f>
        <v>0.2645502645502645</v>
      </c>
      <c r="C61" t="s">
        <v>238</v>
      </c>
      <c r="D61" s="103">
        <f>B60/0.26</f>
        <v>0.10175010175010173</v>
      </c>
      <c r="E61" t="s">
        <v>238</v>
      </c>
      <c r="K61" s="46" t="s">
        <v>288</v>
      </c>
      <c r="L61" s="46">
        <v>50</v>
      </c>
      <c r="M61" s="95" t="s">
        <v>76</v>
      </c>
      <c r="N61" s="46">
        <v>200</v>
      </c>
      <c r="O61" s="95" t="s">
        <v>76</v>
      </c>
      <c r="R61" s="46"/>
    </row>
    <row r="62" spans="2:17" ht="16.5">
      <c r="B62" t="s">
        <v>99</v>
      </c>
      <c r="D62" t="s">
        <v>98</v>
      </c>
      <c r="F62" t="s">
        <v>279</v>
      </c>
      <c r="K62" s="108" t="s">
        <v>290</v>
      </c>
      <c r="L62" s="108">
        <v>3630</v>
      </c>
      <c r="M62" s="22" t="s">
        <v>76</v>
      </c>
      <c r="N62" s="108"/>
      <c r="O62" s="22"/>
      <c r="Q62" s="46"/>
    </row>
    <row r="63" spans="1:18" ht="16.5">
      <c r="A63" s="46" t="s">
        <v>292</v>
      </c>
      <c r="D63" s="46">
        <v>110</v>
      </c>
      <c r="E63" s="95" t="s">
        <v>76</v>
      </c>
      <c r="F63" s="46">
        <v>260</v>
      </c>
      <c r="G63" s="95" t="s">
        <v>76</v>
      </c>
      <c r="K63" s="109" t="s">
        <v>286</v>
      </c>
      <c r="L63" s="120">
        <f>(L40*P64)/L37/L41</f>
        <v>0.01888888888888889</v>
      </c>
      <c r="M63" s="109" t="s">
        <v>236</v>
      </c>
      <c r="N63" t="s">
        <v>293</v>
      </c>
      <c r="P63" s="110"/>
      <c r="Q63" s="110"/>
      <c r="R63" s="110"/>
    </row>
    <row r="64" spans="1:19" ht="16.5">
      <c r="A64" s="117" t="s">
        <v>294</v>
      </c>
      <c r="B64" s="103"/>
      <c r="D64" s="103"/>
      <c r="F64" s="121"/>
      <c r="G64" s="121"/>
      <c r="K64" t="s">
        <v>237</v>
      </c>
      <c r="L64" s="103">
        <f>L63/0.07</f>
        <v>0.2698412698412698</v>
      </c>
      <c r="M64" t="s">
        <v>238</v>
      </c>
      <c r="N64" s="103">
        <f>L63/0.3</f>
        <v>0.06296296296296296</v>
      </c>
      <c r="O64" t="s">
        <v>238</v>
      </c>
      <c r="P64">
        <v>4</v>
      </c>
      <c r="S64" s="117"/>
    </row>
    <row r="65" spans="1:19" ht="16.5">
      <c r="A65" s="117"/>
      <c r="B65" s="103"/>
      <c r="D65" s="103"/>
      <c r="F65" s="121"/>
      <c r="G65" s="121"/>
      <c r="K65" s="46" t="s">
        <v>288</v>
      </c>
      <c r="L65" s="46">
        <v>70</v>
      </c>
      <c r="M65" s="95" t="s">
        <v>76</v>
      </c>
      <c r="N65" s="46">
        <v>300</v>
      </c>
      <c r="O65" s="95" t="s">
        <v>76</v>
      </c>
      <c r="S65" s="117"/>
    </row>
    <row r="66" spans="1:19" ht="16.5">
      <c r="A66" s="107" t="s">
        <v>295</v>
      </c>
      <c r="B66" s="108" t="s">
        <v>127</v>
      </c>
      <c r="C66" s="108"/>
      <c r="D66" s="108"/>
      <c r="E66" s="108"/>
      <c r="F66" s="108"/>
      <c r="G66" s="108"/>
      <c r="H66" s="108"/>
      <c r="I66" s="108"/>
      <c r="J66" s="108"/>
      <c r="K66" s="108" t="s">
        <v>290</v>
      </c>
      <c r="L66" s="108">
        <v>3040</v>
      </c>
      <c r="M66" s="22" t="s">
        <v>76</v>
      </c>
      <c r="N66" s="108"/>
      <c r="O66" s="22"/>
      <c r="S66" s="46"/>
    </row>
    <row r="67" spans="2:19" ht="16.5">
      <c r="B67" t="s">
        <v>249</v>
      </c>
      <c r="S67" s="46"/>
    </row>
    <row r="68" spans="1:19" ht="16.5">
      <c r="A68" t="s">
        <v>296</v>
      </c>
      <c r="B68" s="42">
        <f>Площади!F34</f>
        <v>38.114</v>
      </c>
      <c r="C68" t="s">
        <v>24</v>
      </c>
      <c r="F68">
        <v>40</v>
      </c>
      <c r="G68" t="s">
        <v>227</v>
      </c>
      <c r="S68" s="46"/>
    </row>
    <row r="69" spans="1:19" ht="16.5">
      <c r="A69" t="s">
        <v>296</v>
      </c>
      <c r="B69" s="42">
        <f>Площади!F35</f>
        <v>38.114</v>
      </c>
      <c r="C69" t="s">
        <v>24</v>
      </c>
      <c r="F69">
        <v>40</v>
      </c>
      <c r="G69" t="s">
        <v>227</v>
      </c>
      <c r="S69" s="46"/>
    </row>
    <row r="70" spans="1:7" ht="16.5">
      <c r="A70" t="s">
        <v>297</v>
      </c>
      <c r="B70" s="42">
        <f>Площади!F36</f>
        <v>48.9</v>
      </c>
      <c r="C70" t="s">
        <v>24</v>
      </c>
      <c r="F70">
        <v>40</v>
      </c>
      <c r="G70" t="s">
        <v>227</v>
      </c>
    </row>
    <row r="71" spans="1:19" ht="16.5">
      <c r="A71" s="73" t="s">
        <v>225</v>
      </c>
      <c r="B71" s="72">
        <v>3600</v>
      </c>
      <c r="C71" s="72" t="s">
        <v>224</v>
      </c>
      <c r="D71" s="114" t="s">
        <v>226</v>
      </c>
      <c r="E71" s="73"/>
      <c r="F71" s="73"/>
      <c r="G71" s="73"/>
      <c r="H71" s="73">
        <f>SUM(F66:F70)</f>
        <v>120</v>
      </c>
      <c r="I71" s="73" t="s">
        <v>227</v>
      </c>
      <c r="J71" s="72"/>
      <c r="K71" s="107" t="s">
        <v>298</v>
      </c>
      <c r="L71" s="108" t="s">
        <v>127</v>
      </c>
      <c r="M71" s="108"/>
      <c r="N71" s="122"/>
      <c r="O71" s="122"/>
      <c r="P71" s="108"/>
      <c r="Q71" s="108"/>
      <c r="R71" s="108"/>
      <c r="S71" s="108"/>
    </row>
    <row r="72" spans="1:15" ht="16.5">
      <c r="A72" s="116" t="s">
        <v>264</v>
      </c>
      <c r="B72" s="116">
        <v>0.6000000000000001</v>
      </c>
      <c r="C72" s="117"/>
      <c r="D72" s="116">
        <v>1.2</v>
      </c>
      <c r="E72" s="117"/>
      <c r="L72" s="42">
        <f>Площади!F37</f>
        <v>26.176</v>
      </c>
      <c r="M72" t="s">
        <v>24</v>
      </c>
      <c r="N72" s="103"/>
      <c r="O72" s="103"/>
    </row>
    <row r="73" spans="1:19" ht="16.5">
      <c r="A73" t="s">
        <v>266</v>
      </c>
      <c r="B73" s="46">
        <v>3</v>
      </c>
      <c r="C73" s="46" t="s">
        <v>120</v>
      </c>
      <c r="D73" s="46"/>
      <c r="E73" t="s">
        <v>299</v>
      </c>
      <c r="K73" s="109" t="s">
        <v>228</v>
      </c>
      <c r="L73" s="110">
        <v>3600</v>
      </c>
      <c r="M73" s="110" t="s">
        <v>224</v>
      </c>
      <c r="N73" s="115" t="s">
        <v>226</v>
      </c>
      <c r="O73" s="109"/>
      <c r="P73" s="109"/>
      <c r="Q73" s="109"/>
      <c r="R73" s="109">
        <v>60</v>
      </c>
      <c r="S73" s="109" t="s">
        <v>227</v>
      </c>
    </row>
    <row r="74" spans="1:14" ht="16.5">
      <c r="A74" t="s">
        <v>269</v>
      </c>
      <c r="B74" s="42">
        <f>H71/B73</f>
        <v>40</v>
      </c>
      <c r="C74" t="s">
        <v>227</v>
      </c>
      <c r="E74" t="s">
        <v>300</v>
      </c>
      <c r="K74" s="111" t="s">
        <v>265</v>
      </c>
      <c r="L74" s="111">
        <v>1</v>
      </c>
      <c r="M74" s="111"/>
      <c r="N74" s="111">
        <v>2</v>
      </c>
    </row>
    <row r="75" spans="1:19" ht="16.5">
      <c r="A75" t="s">
        <v>270</v>
      </c>
      <c r="B75">
        <v>2.5</v>
      </c>
      <c r="C75" t="s">
        <v>230</v>
      </c>
      <c r="K75" t="s">
        <v>266</v>
      </c>
      <c r="L75" s="46">
        <v>1</v>
      </c>
      <c r="M75" s="46" t="s">
        <v>120</v>
      </c>
      <c r="Q75" s="46"/>
      <c r="S75" s="46"/>
    </row>
    <row r="76" spans="1:13" ht="16.5">
      <c r="A76" t="s">
        <v>289</v>
      </c>
      <c r="B76">
        <v>0.6000000000000001</v>
      </c>
      <c r="D76" s="46"/>
      <c r="K76" t="s">
        <v>269</v>
      </c>
      <c r="L76" s="42">
        <f>R73/L75</f>
        <v>60</v>
      </c>
      <c r="M76" t="s">
        <v>227</v>
      </c>
    </row>
    <row r="77" spans="1:13" ht="16.5">
      <c r="A77" t="s">
        <v>273</v>
      </c>
      <c r="B77">
        <v>0.7</v>
      </c>
      <c r="K77" t="s">
        <v>270</v>
      </c>
      <c r="L77">
        <v>2.5</v>
      </c>
      <c r="M77" t="s">
        <v>230</v>
      </c>
    </row>
    <row r="78" spans="1:17" ht="16.5">
      <c r="A78" s="73" t="s">
        <v>276</v>
      </c>
      <c r="B78" s="119">
        <f>B74/B71/B76/B77</f>
        <v>0.02645502645502645</v>
      </c>
      <c r="C78" s="73" t="s">
        <v>236</v>
      </c>
      <c r="K78" t="s">
        <v>272</v>
      </c>
      <c r="L78">
        <v>1</v>
      </c>
      <c r="Q78" s="46"/>
    </row>
    <row r="79" spans="1:12" ht="16.5">
      <c r="A79" t="s">
        <v>237</v>
      </c>
      <c r="B79" s="103">
        <f>B78/0.1</f>
        <v>0.2645502645502645</v>
      </c>
      <c r="C79" t="s">
        <v>238</v>
      </c>
      <c r="D79" s="103">
        <f>B78/0.26</f>
        <v>0.10175010175010173</v>
      </c>
      <c r="E79" t="s">
        <v>238</v>
      </c>
      <c r="K79" t="s">
        <v>273</v>
      </c>
      <c r="L79">
        <v>0.7</v>
      </c>
    </row>
    <row r="80" spans="2:11" ht="16.5">
      <c r="B80" t="s">
        <v>99</v>
      </c>
      <c r="D80" t="s">
        <v>98</v>
      </c>
      <c r="F80" t="s">
        <v>279</v>
      </c>
      <c r="K80" s="118" t="s">
        <v>301</v>
      </c>
    </row>
    <row r="81" spans="1:13" ht="16.5">
      <c r="A81" s="46" t="s">
        <v>302</v>
      </c>
      <c r="D81" s="46">
        <v>110</v>
      </c>
      <c r="E81" s="95" t="s">
        <v>76</v>
      </c>
      <c r="F81" s="46">
        <v>260</v>
      </c>
      <c r="G81" s="95" t="s">
        <v>76</v>
      </c>
      <c r="K81" s="109" t="s">
        <v>278</v>
      </c>
      <c r="L81" s="120">
        <f>L76/L73/L78/L79</f>
        <v>0.023809523809523808</v>
      </c>
      <c r="M81" s="109" t="s">
        <v>236</v>
      </c>
    </row>
    <row r="82" spans="1:15" ht="16.5">
      <c r="A82" s="117" t="s">
        <v>294</v>
      </c>
      <c r="K82" t="s">
        <v>303</v>
      </c>
      <c r="L82" s="103">
        <f>(SQRT(L81/PI()))*2</f>
        <v>0.17411268551027267</v>
      </c>
      <c r="M82" t="s">
        <v>281</v>
      </c>
      <c r="N82" s="46">
        <v>150</v>
      </c>
      <c r="O82" s="95" t="s">
        <v>76</v>
      </c>
    </row>
    <row r="83" ht="16.5">
      <c r="K83" s="118" t="s">
        <v>285</v>
      </c>
    </row>
    <row r="84" spans="1:13" ht="16.5">
      <c r="A84" s="73" t="s">
        <v>286</v>
      </c>
      <c r="B84" s="119">
        <f>(B56*F85)/B53/B57</f>
        <v>0.0044444444444444444</v>
      </c>
      <c r="C84" s="73" t="s">
        <v>236</v>
      </c>
      <c r="D84" t="s">
        <v>304</v>
      </c>
      <c r="F84" s="72"/>
      <c r="G84" s="72"/>
      <c r="H84" s="72"/>
      <c r="K84" s="109" t="s">
        <v>286</v>
      </c>
      <c r="L84" s="120">
        <f>L76/L73/L77</f>
        <v>0.006666666666666666</v>
      </c>
      <c r="M84" s="109" t="s">
        <v>236</v>
      </c>
    </row>
    <row r="85" spans="1:15" ht="16.5">
      <c r="A85" t="s">
        <v>237</v>
      </c>
      <c r="B85" s="103">
        <f>B84/0.09</f>
        <v>0.04938271604938272</v>
      </c>
      <c r="C85" t="s">
        <v>238</v>
      </c>
      <c r="D85" s="103">
        <f>B84/0.05</f>
        <v>0.08888888888888888</v>
      </c>
      <c r="E85" t="s">
        <v>238</v>
      </c>
      <c r="F85">
        <v>1</v>
      </c>
      <c r="K85" t="s">
        <v>237</v>
      </c>
      <c r="L85" s="103">
        <f>L84/0.1</f>
        <v>0.06666666666666665</v>
      </c>
      <c r="M85" t="s">
        <v>238</v>
      </c>
      <c r="N85" s="103">
        <f>L84/0.07</f>
        <v>0.09523809523809522</v>
      </c>
      <c r="O85" t="s">
        <v>238</v>
      </c>
    </row>
    <row r="86" spans="1:15" ht="16.5">
      <c r="A86" s="46" t="s">
        <v>288</v>
      </c>
      <c r="B86" s="46">
        <v>50</v>
      </c>
      <c r="C86" s="95" t="s">
        <v>76</v>
      </c>
      <c r="D86" s="46">
        <v>90</v>
      </c>
      <c r="E86" s="95" t="s">
        <v>76</v>
      </c>
      <c r="K86" s="46" t="s">
        <v>288</v>
      </c>
      <c r="L86" s="46">
        <v>100</v>
      </c>
      <c r="M86" s="95" t="s">
        <v>76</v>
      </c>
      <c r="N86" s="46">
        <v>70</v>
      </c>
      <c r="O86" s="95" t="s">
        <v>76</v>
      </c>
    </row>
    <row r="87" spans="1:15" ht="16.5">
      <c r="A87" s="108" t="s">
        <v>290</v>
      </c>
      <c r="B87" s="108" t="s">
        <v>305</v>
      </c>
      <c r="C87" s="22"/>
      <c r="D87" s="108"/>
      <c r="E87" s="22"/>
      <c r="F87" s="108"/>
      <c r="G87" s="108"/>
      <c r="H87" s="123"/>
      <c r="I87" s="108"/>
      <c r="J87" s="108"/>
      <c r="K87" s="108" t="s">
        <v>290</v>
      </c>
      <c r="L87" s="108">
        <v>160</v>
      </c>
      <c r="M87" s="22" t="s">
        <v>76</v>
      </c>
      <c r="N87" s="108"/>
      <c r="O87" s="22"/>
    </row>
    <row r="88" spans="1:20" ht="16.5">
      <c r="A88" s="107" t="s">
        <v>286</v>
      </c>
      <c r="B88" s="124">
        <f>(B56*F89)/B53/B57</f>
        <v>0.008888888888888889</v>
      </c>
      <c r="C88" s="107" t="s">
        <v>236</v>
      </c>
      <c r="D88" t="s">
        <v>306</v>
      </c>
      <c r="F88" s="72"/>
      <c r="G88" s="72"/>
      <c r="H88" s="72"/>
      <c r="K88" s="108" t="s">
        <v>307</v>
      </c>
      <c r="L88" s="108"/>
      <c r="M88" s="108"/>
      <c r="N88" s="108"/>
      <c r="O88" s="108"/>
      <c r="P88" s="108"/>
      <c r="Q88" s="108"/>
      <c r="R88" s="108"/>
      <c r="S88" s="108"/>
      <c r="T88" s="108"/>
    </row>
    <row r="89" spans="1:13" ht="16.5">
      <c r="A89" t="s">
        <v>237</v>
      </c>
      <c r="B89" s="103">
        <f>B88/0.05</f>
        <v>0.17777777777777776</v>
      </c>
      <c r="C89" t="s">
        <v>238</v>
      </c>
      <c r="D89" s="103">
        <f>B88/0.18</f>
        <v>0.04938271604938272</v>
      </c>
      <c r="E89" t="s">
        <v>238</v>
      </c>
      <c r="F89">
        <v>2</v>
      </c>
      <c r="K89" s="109" t="s">
        <v>286</v>
      </c>
      <c r="L89" s="120">
        <f>L84+L55+L223</f>
        <v>0.07583333333333334</v>
      </c>
      <c r="M89" s="109" t="s">
        <v>236</v>
      </c>
    </row>
    <row r="90" spans="1:15" ht="16.5">
      <c r="A90" s="46" t="s">
        <v>288</v>
      </c>
      <c r="B90" s="46">
        <v>50</v>
      </c>
      <c r="C90" s="95" t="s">
        <v>76</v>
      </c>
      <c r="D90" s="46">
        <v>180</v>
      </c>
      <c r="E90" s="95" t="s">
        <v>76</v>
      </c>
      <c r="K90" t="s">
        <v>237</v>
      </c>
      <c r="L90" s="103">
        <f>L89/0.3</f>
        <v>0.25277777777777777</v>
      </c>
      <c r="M90" t="s">
        <v>238</v>
      </c>
      <c r="N90" s="103">
        <f>L89/0.25</f>
        <v>0.30333333333333334</v>
      </c>
      <c r="O90" t="s">
        <v>238</v>
      </c>
    </row>
    <row r="91" spans="1:15" ht="16.5">
      <c r="A91" s="108" t="s">
        <v>290</v>
      </c>
      <c r="B91" s="108" t="s">
        <v>308</v>
      </c>
      <c r="C91" s="22"/>
      <c r="D91" s="108"/>
      <c r="E91" s="22"/>
      <c r="F91" s="108"/>
      <c r="G91" s="108"/>
      <c r="H91" s="108"/>
      <c r="I91" s="108"/>
      <c r="J91" s="108"/>
      <c r="K91" s="46" t="s">
        <v>288</v>
      </c>
      <c r="L91" s="46">
        <v>300</v>
      </c>
      <c r="M91" s="95" t="s">
        <v>76</v>
      </c>
      <c r="N91" s="46">
        <v>250</v>
      </c>
      <c r="O91" s="95" t="s">
        <v>76</v>
      </c>
    </row>
    <row r="92" spans="1:15" ht="16.5">
      <c r="A92" s="73" t="s">
        <v>286</v>
      </c>
      <c r="B92" s="119">
        <f>(B56*F93)/B53/B57</f>
        <v>0.02222222222222222</v>
      </c>
      <c r="C92" s="73" t="s">
        <v>236</v>
      </c>
      <c r="D92" t="s">
        <v>309</v>
      </c>
      <c r="F92" s="72"/>
      <c r="G92" s="72"/>
      <c r="H92" s="72"/>
      <c r="K92" s="108" t="s">
        <v>290</v>
      </c>
      <c r="L92" s="108">
        <v>3900</v>
      </c>
      <c r="M92" s="22" t="s">
        <v>76</v>
      </c>
      <c r="N92" s="108"/>
      <c r="O92" s="22"/>
    </row>
    <row r="93" spans="1:6" ht="16.5">
      <c r="A93" t="s">
        <v>237</v>
      </c>
      <c r="B93" s="103">
        <f>B92/0.05</f>
        <v>0.44444444444444436</v>
      </c>
      <c r="C93" t="s">
        <v>238</v>
      </c>
      <c r="D93" s="103">
        <f>B92/0.44</f>
        <v>0.0505050505050505</v>
      </c>
      <c r="E93" t="s">
        <v>238</v>
      </c>
      <c r="F93">
        <v>5</v>
      </c>
    </row>
    <row r="94" spans="1:20" ht="16.5">
      <c r="A94" s="46" t="s">
        <v>288</v>
      </c>
      <c r="B94" s="46">
        <v>50</v>
      </c>
      <c r="C94" s="95" t="s">
        <v>76</v>
      </c>
      <c r="D94" s="46">
        <v>430</v>
      </c>
      <c r="E94" s="95" t="s">
        <v>76</v>
      </c>
      <c r="K94" s="108" t="s">
        <v>310</v>
      </c>
      <c r="L94" s="108"/>
      <c r="M94" s="108"/>
      <c r="N94" s="108"/>
      <c r="O94" s="108"/>
      <c r="P94" s="108"/>
      <c r="Q94" s="108"/>
      <c r="R94" s="108"/>
      <c r="S94" s="108"/>
      <c r="T94" s="108"/>
    </row>
    <row r="95" spans="1:13" ht="16.5">
      <c r="A95" s="108" t="s">
        <v>290</v>
      </c>
      <c r="B95" s="108">
        <v>2280</v>
      </c>
      <c r="C95" s="22" t="s">
        <v>76</v>
      </c>
      <c r="D95" s="46"/>
      <c r="E95" s="95"/>
      <c r="K95" s="109" t="s">
        <v>286</v>
      </c>
      <c r="L95" s="120">
        <f>L89+L63+L162</f>
        <v>0.1025</v>
      </c>
      <c r="M95" s="109" t="s">
        <v>236</v>
      </c>
    </row>
    <row r="96" spans="1:15" ht="16.5">
      <c r="A96" s="73" t="s">
        <v>286</v>
      </c>
      <c r="B96" s="119">
        <f>(B56*F97)/B53/B57</f>
        <v>0.026666666666666665</v>
      </c>
      <c r="C96" s="73" t="s">
        <v>236</v>
      </c>
      <c r="D96" t="s">
        <v>291</v>
      </c>
      <c r="F96" s="72"/>
      <c r="K96" t="s">
        <v>237</v>
      </c>
      <c r="L96" s="103">
        <f>L95/0.3</f>
        <v>0.3416666666666666</v>
      </c>
      <c r="M96" t="s">
        <v>238</v>
      </c>
      <c r="N96" s="103">
        <f>L95/0.34</f>
        <v>0.3014705882352941</v>
      </c>
      <c r="O96" t="s">
        <v>238</v>
      </c>
    </row>
    <row r="97" spans="1:15" ht="16.5">
      <c r="A97" t="s">
        <v>237</v>
      </c>
      <c r="B97" s="103">
        <f>B96/0.05</f>
        <v>0.5333333333333332</v>
      </c>
      <c r="C97" t="s">
        <v>238</v>
      </c>
      <c r="D97" s="103">
        <f>B96/0.5</f>
        <v>0.05333333333333333</v>
      </c>
      <c r="E97" t="s">
        <v>238</v>
      </c>
      <c r="F97">
        <v>6</v>
      </c>
      <c r="K97" s="46" t="s">
        <v>288</v>
      </c>
      <c r="L97" s="46">
        <v>340</v>
      </c>
      <c r="M97" s="95" t="s">
        <v>76</v>
      </c>
      <c r="N97" s="46">
        <v>300</v>
      </c>
      <c r="O97" s="95" t="s">
        <v>76</v>
      </c>
    </row>
    <row r="98" spans="1:15" ht="16.5">
      <c r="A98" s="46" t="s">
        <v>288</v>
      </c>
      <c r="B98" s="46">
        <v>50</v>
      </c>
      <c r="C98" s="95" t="s">
        <v>76</v>
      </c>
      <c r="D98" s="46">
        <v>500</v>
      </c>
      <c r="E98" s="95" t="s">
        <v>76</v>
      </c>
      <c r="K98" s="108" t="s">
        <v>290</v>
      </c>
      <c r="L98" s="108">
        <f>3700+540</f>
        <v>4240</v>
      </c>
      <c r="M98" s="22" t="s">
        <v>76</v>
      </c>
      <c r="N98" s="108"/>
      <c r="O98" s="22"/>
    </row>
    <row r="99" spans="1:5" ht="16.5">
      <c r="A99" s="108" t="s">
        <v>290</v>
      </c>
      <c r="B99" s="108">
        <v>1680</v>
      </c>
      <c r="C99" s="22" t="s">
        <v>76</v>
      </c>
      <c r="D99" s="46"/>
      <c r="E99" s="95"/>
    </row>
    <row r="100" spans="1:6" ht="16.5">
      <c r="A100" s="73" t="s">
        <v>286</v>
      </c>
      <c r="B100" s="119">
        <f>(B56*F101)/B53/B57</f>
        <v>0.03111111111111111</v>
      </c>
      <c r="C100" s="73" t="s">
        <v>236</v>
      </c>
      <c r="D100" t="s">
        <v>311</v>
      </c>
      <c r="F100" s="72"/>
    </row>
    <row r="101" spans="1:6" ht="16.5">
      <c r="A101" t="s">
        <v>237</v>
      </c>
      <c r="B101" s="103">
        <f>B100/0.06</f>
        <v>0.5185185185185185</v>
      </c>
      <c r="C101" t="s">
        <v>238</v>
      </c>
      <c r="D101" s="103">
        <f>B100/0.5</f>
        <v>0.06222222222222222</v>
      </c>
      <c r="E101" t="s">
        <v>238</v>
      </c>
      <c r="F101">
        <v>7</v>
      </c>
    </row>
    <row r="102" spans="1:5" ht="16.5">
      <c r="A102" s="46" t="s">
        <v>288</v>
      </c>
      <c r="B102" s="46">
        <v>60</v>
      </c>
      <c r="C102" s="95" t="s">
        <v>76</v>
      </c>
      <c r="D102" s="46">
        <v>500</v>
      </c>
      <c r="E102" s="95" t="s">
        <v>76</v>
      </c>
    </row>
    <row r="103" spans="1:5" ht="16.5">
      <c r="A103" s="108" t="s">
        <v>290</v>
      </c>
      <c r="B103" s="108">
        <v>1400</v>
      </c>
      <c r="C103" s="22" t="s">
        <v>76</v>
      </c>
      <c r="D103" s="46"/>
      <c r="E103" s="95"/>
    </row>
    <row r="104" spans="1:6" ht="16.5">
      <c r="A104" s="117" t="s">
        <v>285</v>
      </c>
      <c r="B104" s="116"/>
      <c r="C104" s="117"/>
      <c r="D104" s="116"/>
      <c r="E104" s="117"/>
      <c r="F104" s="116"/>
    </row>
    <row r="105" spans="1:6" ht="16.5">
      <c r="A105" s="73" t="s">
        <v>286</v>
      </c>
      <c r="B105" s="119">
        <f>B100</f>
        <v>0.03111111111111111</v>
      </c>
      <c r="C105" s="73" t="s">
        <v>236</v>
      </c>
      <c r="D105" s="108" t="s">
        <v>312</v>
      </c>
      <c r="E105" s="108"/>
      <c r="F105" s="108"/>
    </row>
    <row r="106" spans="1:5" ht="16.5">
      <c r="A106" t="s">
        <v>237</v>
      </c>
      <c r="B106" s="103">
        <f>B105/0.2</f>
        <v>0.15555555555555553</v>
      </c>
      <c r="C106" t="s">
        <v>238</v>
      </c>
      <c r="D106" s="103">
        <f>B105/0.16</f>
        <v>0.19444444444444445</v>
      </c>
      <c r="E106" t="s">
        <v>238</v>
      </c>
    </row>
    <row r="107" spans="1:5" ht="16.5">
      <c r="A107" s="46" t="s">
        <v>288</v>
      </c>
      <c r="B107" s="46">
        <v>200</v>
      </c>
      <c r="C107" s="95" t="s">
        <v>76</v>
      </c>
      <c r="D107" s="46">
        <v>200</v>
      </c>
      <c r="E107" s="95" t="s">
        <v>76</v>
      </c>
    </row>
    <row r="108" spans="1:5" ht="16.5">
      <c r="A108" s="108" t="s">
        <v>290</v>
      </c>
      <c r="B108" s="108">
        <v>3600</v>
      </c>
      <c r="C108" s="22" t="s">
        <v>76</v>
      </c>
      <c r="D108" s="46"/>
      <c r="E108" s="95"/>
    </row>
    <row r="110" spans="1:19" ht="16.5">
      <c r="A110" s="107" t="s">
        <v>38</v>
      </c>
      <c r="B110" s="108" t="s">
        <v>121</v>
      </c>
      <c r="C110" s="108"/>
      <c r="D110" s="108"/>
      <c r="E110" s="108"/>
      <c r="F110" s="108"/>
      <c r="G110" s="108"/>
      <c r="H110" s="108"/>
      <c r="I110" s="108"/>
      <c r="J110" s="108"/>
      <c r="K110" s="107" t="s">
        <v>313</v>
      </c>
      <c r="L110" s="108" t="s">
        <v>121</v>
      </c>
      <c r="M110" s="108"/>
      <c r="N110" s="122"/>
      <c r="O110" s="122"/>
      <c r="P110" s="108"/>
      <c r="Q110" s="108"/>
      <c r="R110" s="108"/>
      <c r="S110" s="108"/>
    </row>
    <row r="111" spans="2:15" ht="16.5">
      <c r="B111" t="s">
        <v>249</v>
      </c>
      <c r="F111" t="s">
        <v>250</v>
      </c>
      <c r="N111" s="103"/>
      <c r="O111" s="103"/>
    </row>
    <row r="112" spans="2:15" ht="16.5">
      <c r="B112" s="42">
        <f>Площади!F17</f>
        <v>60.64125000000001</v>
      </c>
      <c r="C112" t="s">
        <v>24</v>
      </c>
      <c r="F112">
        <v>30</v>
      </c>
      <c r="G112" t="s">
        <v>227</v>
      </c>
      <c r="N112" s="103"/>
      <c r="O112" s="103"/>
    </row>
    <row r="113" spans="1:19" ht="16.5">
      <c r="A113" s="73" t="s">
        <v>225</v>
      </c>
      <c r="B113" s="72">
        <v>3600</v>
      </c>
      <c r="C113" s="72" t="s">
        <v>224</v>
      </c>
      <c r="D113" s="114" t="s">
        <v>226</v>
      </c>
      <c r="E113" s="73"/>
      <c r="F113" s="73"/>
      <c r="G113" s="73"/>
      <c r="H113" s="73">
        <f>SUM(F112:F112)</f>
        <v>30</v>
      </c>
      <c r="I113" s="73" t="s">
        <v>227</v>
      </c>
      <c r="J113" s="72"/>
      <c r="K113" s="109" t="s">
        <v>228</v>
      </c>
      <c r="L113" s="110">
        <v>3600</v>
      </c>
      <c r="M113" s="110" t="s">
        <v>224</v>
      </c>
      <c r="N113" s="115" t="s">
        <v>226</v>
      </c>
      <c r="O113" s="109"/>
      <c r="P113" s="109"/>
      <c r="Q113" s="109"/>
      <c r="R113" s="109">
        <f>H113+50</f>
        <v>80</v>
      </c>
      <c r="S113" s="109" t="s">
        <v>227</v>
      </c>
    </row>
    <row r="114" spans="1:14" ht="16.5">
      <c r="A114" s="116" t="s">
        <v>264</v>
      </c>
      <c r="B114" s="116">
        <v>0.6000000000000001</v>
      </c>
      <c r="C114" s="117"/>
      <c r="D114" s="116">
        <v>1.2</v>
      </c>
      <c r="E114" s="117"/>
      <c r="K114" s="111" t="s">
        <v>265</v>
      </c>
      <c r="L114" s="111">
        <v>1</v>
      </c>
      <c r="M114" s="111"/>
      <c r="N114" s="111">
        <v>2</v>
      </c>
    </row>
    <row r="115" spans="1:19" ht="16.5">
      <c r="A115" t="s">
        <v>266</v>
      </c>
      <c r="B115" s="46">
        <v>1</v>
      </c>
      <c r="C115" s="46" t="s">
        <v>120</v>
      </c>
      <c r="E115" t="s">
        <v>314</v>
      </c>
      <c r="I115" s="46"/>
      <c r="K115" t="s">
        <v>266</v>
      </c>
      <c r="L115" s="46">
        <v>2</v>
      </c>
      <c r="M115" s="46" t="s">
        <v>120</v>
      </c>
      <c r="N115" t="s">
        <v>315</v>
      </c>
      <c r="Q115" s="46"/>
      <c r="S115" s="46"/>
    </row>
    <row r="116" spans="1:13" ht="16.5">
      <c r="A116" t="s">
        <v>269</v>
      </c>
      <c r="B116" s="42">
        <f>H113/B115</f>
        <v>30</v>
      </c>
      <c r="C116" t="s">
        <v>227</v>
      </c>
      <c r="I116" s="46"/>
      <c r="K116" t="s">
        <v>269</v>
      </c>
      <c r="L116" s="42">
        <f>R113/L115</f>
        <v>40</v>
      </c>
      <c r="M116" t="s">
        <v>227</v>
      </c>
    </row>
    <row r="117" spans="1:13" ht="16.5">
      <c r="A117" t="s">
        <v>270</v>
      </c>
      <c r="B117">
        <v>2.5</v>
      </c>
      <c r="C117" t="s">
        <v>230</v>
      </c>
      <c r="K117" t="s">
        <v>270</v>
      </c>
      <c r="L117">
        <v>2.5</v>
      </c>
      <c r="M117" t="s">
        <v>230</v>
      </c>
    </row>
    <row r="118" spans="1:17" ht="16.5">
      <c r="A118" t="s">
        <v>271</v>
      </c>
      <c r="B118">
        <v>0.6000000000000001</v>
      </c>
      <c r="D118" s="46"/>
      <c r="K118" t="s">
        <v>272</v>
      </c>
      <c r="L118">
        <v>1</v>
      </c>
      <c r="Q118" s="46"/>
    </row>
    <row r="119" spans="1:12" ht="16.5">
      <c r="A119" t="s">
        <v>273</v>
      </c>
      <c r="B119">
        <v>0.7</v>
      </c>
      <c r="K119" t="s">
        <v>273</v>
      </c>
      <c r="L119">
        <v>0.7</v>
      </c>
    </row>
    <row r="120" spans="1:11" ht="16.5">
      <c r="A120" s="117" t="s">
        <v>316</v>
      </c>
      <c r="D120" s="117"/>
      <c r="K120" s="118" t="s">
        <v>317</v>
      </c>
    </row>
    <row r="121" spans="1:13" ht="16.5">
      <c r="A121" s="73" t="s">
        <v>276</v>
      </c>
      <c r="B121" s="119">
        <f>B116/B113/B118/B119</f>
        <v>0.019841269841269837</v>
      </c>
      <c r="C121" s="73" t="s">
        <v>236</v>
      </c>
      <c r="K121" s="109" t="s">
        <v>278</v>
      </c>
      <c r="L121" s="120">
        <f>L116/L113/L118/L119</f>
        <v>0.015873015873015872</v>
      </c>
      <c r="M121" s="109" t="s">
        <v>236</v>
      </c>
    </row>
    <row r="122" spans="1:15" ht="16.5">
      <c r="A122" t="s">
        <v>237</v>
      </c>
      <c r="B122" s="103">
        <f>B121/0.1</f>
        <v>0.19841269841269835</v>
      </c>
      <c r="C122" t="s">
        <v>238</v>
      </c>
      <c r="D122" s="103">
        <f>B121/0.2</f>
        <v>0.09920634920634917</v>
      </c>
      <c r="E122" t="s">
        <v>238</v>
      </c>
      <c r="K122" t="s">
        <v>318</v>
      </c>
      <c r="L122" s="103">
        <f>(SQRT(L121/PI()))*2</f>
        <v>0.14216241241528205</v>
      </c>
      <c r="M122" t="s">
        <v>281</v>
      </c>
      <c r="N122" s="46">
        <v>150</v>
      </c>
      <c r="O122" s="95" t="s">
        <v>76</v>
      </c>
    </row>
    <row r="123" spans="2:11" ht="16.5">
      <c r="B123" t="s">
        <v>99</v>
      </c>
      <c r="D123" t="s">
        <v>98</v>
      </c>
      <c r="F123" t="s">
        <v>279</v>
      </c>
      <c r="K123" s="118" t="s">
        <v>285</v>
      </c>
    </row>
    <row r="124" spans="1:13" ht="16.5">
      <c r="A124" s="46" t="s">
        <v>319</v>
      </c>
      <c r="B124" s="46">
        <v>100</v>
      </c>
      <c r="C124" s="95" t="s">
        <v>76</v>
      </c>
      <c r="D124" s="46">
        <v>200</v>
      </c>
      <c r="E124" s="95" t="s">
        <v>76</v>
      </c>
      <c r="F124" s="46"/>
      <c r="G124" s="95"/>
      <c r="K124" s="109" t="s">
        <v>286</v>
      </c>
      <c r="L124" s="120">
        <f>(L116*P125)/L113/L117</f>
        <v>0.0044444444444444444</v>
      </c>
      <c r="M124" s="109" t="s">
        <v>236</v>
      </c>
    </row>
    <row r="125" spans="1:16" ht="16.5">
      <c r="A125" s="73" t="s">
        <v>286</v>
      </c>
      <c r="B125" s="119">
        <f>(B116*F126)/B113/B117</f>
        <v>0.006666666666666666</v>
      </c>
      <c r="C125" s="73" t="s">
        <v>236</v>
      </c>
      <c r="D125" t="s">
        <v>320</v>
      </c>
      <c r="F125" s="72"/>
      <c r="G125" s="72"/>
      <c r="H125" s="72"/>
      <c r="K125" t="s">
        <v>237</v>
      </c>
      <c r="L125" s="103">
        <f>L124/0.06</f>
        <v>0.07407407407407407</v>
      </c>
      <c r="M125" t="s">
        <v>238</v>
      </c>
      <c r="N125" s="103">
        <f>L124/0.08</f>
        <v>0.05555555555555555</v>
      </c>
      <c r="O125" t="s">
        <v>238</v>
      </c>
      <c r="P125">
        <v>1</v>
      </c>
    </row>
    <row r="126" spans="1:15" ht="16.5">
      <c r="A126" t="s">
        <v>237</v>
      </c>
      <c r="B126" s="103">
        <f>B125/0.1</f>
        <v>0.06666666666666665</v>
      </c>
      <c r="C126" t="s">
        <v>238</v>
      </c>
      <c r="D126" s="103">
        <f>B125/0.07</f>
        <v>0.09523809523809522</v>
      </c>
      <c r="E126" t="s">
        <v>238</v>
      </c>
      <c r="F126">
        <v>2</v>
      </c>
      <c r="K126" s="46" t="s">
        <v>288</v>
      </c>
      <c r="L126" s="46">
        <v>80</v>
      </c>
      <c r="M126" s="95" t="s">
        <v>76</v>
      </c>
      <c r="N126" s="46">
        <v>60</v>
      </c>
      <c r="O126" s="95" t="s">
        <v>76</v>
      </c>
    </row>
    <row r="127" spans="1:15" ht="16.5">
      <c r="A127" s="46" t="s">
        <v>288</v>
      </c>
      <c r="B127" s="46">
        <v>70</v>
      </c>
      <c r="C127" s="95" t="s">
        <v>76</v>
      </c>
      <c r="D127" s="46">
        <v>100</v>
      </c>
      <c r="E127" s="95" t="s">
        <v>76</v>
      </c>
      <c r="K127" s="75"/>
      <c r="L127" s="75"/>
      <c r="M127" s="24"/>
      <c r="N127" s="75"/>
      <c r="O127" s="24"/>
    </row>
    <row r="128" spans="1:19" ht="16.5">
      <c r="A128" s="46"/>
      <c r="B128" s="46"/>
      <c r="C128" s="95"/>
      <c r="D128" s="46"/>
      <c r="E128" s="95"/>
      <c r="R128" s="46"/>
      <c r="S128" s="117"/>
    </row>
    <row r="129" spans="1:15" ht="16.5">
      <c r="A129" s="107" t="s">
        <v>26</v>
      </c>
      <c r="B129" s="108" t="s">
        <v>121</v>
      </c>
      <c r="C129" s="108"/>
      <c r="D129" s="108"/>
      <c r="E129" s="108"/>
      <c r="F129" s="108"/>
      <c r="G129" s="108"/>
      <c r="H129" s="108"/>
      <c r="I129" s="108"/>
      <c r="J129" s="108"/>
      <c r="N129" s="103"/>
      <c r="O129" s="103"/>
    </row>
    <row r="130" spans="2:15" ht="16.5">
      <c r="B130" t="s">
        <v>249</v>
      </c>
      <c r="F130" t="s">
        <v>250</v>
      </c>
      <c r="N130" s="103"/>
      <c r="O130" s="103"/>
    </row>
    <row r="131" spans="2:15" ht="16.5">
      <c r="B131" s="42">
        <f>Площади!F8</f>
        <v>26.6156</v>
      </c>
      <c r="C131" t="s">
        <v>24</v>
      </c>
      <c r="F131">
        <v>30</v>
      </c>
      <c r="G131" t="s">
        <v>227</v>
      </c>
      <c r="N131" s="103"/>
      <c r="O131" s="103"/>
    </row>
    <row r="132" spans="1:15" ht="16.5">
      <c r="A132" s="73" t="s">
        <v>225</v>
      </c>
      <c r="B132" s="72">
        <v>3600</v>
      </c>
      <c r="C132" s="72" t="s">
        <v>224</v>
      </c>
      <c r="D132" s="114" t="s">
        <v>226</v>
      </c>
      <c r="E132" s="73"/>
      <c r="F132" s="73"/>
      <c r="G132" s="73"/>
      <c r="H132" s="73">
        <f>SUM(F131:F131)</f>
        <v>30</v>
      </c>
      <c r="I132" s="73" t="s">
        <v>227</v>
      </c>
      <c r="J132" s="72"/>
      <c r="N132" s="103"/>
      <c r="O132" s="103"/>
    </row>
    <row r="133" spans="1:15" ht="16.5">
      <c r="A133" s="116" t="s">
        <v>264</v>
      </c>
      <c r="B133" s="116">
        <v>0.6000000000000001</v>
      </c>
      <c r="C133" s="117"/>
      <c r="D133" s="116">
        <v>1.2</v>
      </c>
      <c r="E133" s="117"/>
      <c r="N133" s="103"/>
      <c r="O133" s="103"/>
    </row>
    <row r="134" spans="1:15" ht="16.5">
      <c r="A134" t="s">
        <v>266</v>
      </c>
      <c r="B134" s="46">
        <v>1</v>
      </c>
      <c r="C134" s="46" t="s">
        <v>120</v>
      </c>
      <c r="E134" t="s">
        <v>314</v>
      </c>
      <c r="I134" s="46"/>
      <c r="N134" s="103"/>
      <c r="O134" s="103"/>
    </row>
    <row r="135" spans="1:15" ht="16.5">
      <c r="A135" t="s">
        <v>269</v>
      </c>
      <c r="B135" s="42">
        <f>H132/B134</f>
        <v>30</v>
      </c>
      <c r="C135" t="s">
        <v>227</v>
      </c>
      <c r="I135" s="46"/>
      <c r="N135" s="103"/>
      <c r="O135" s="103"/>
    </row>
    <row r="136" spans="1:15" ht="16.5">
      <c r="A136" t="s">
        <v>270</v>
      </c>
      <c r="B136">
        <v>2.5</v>
      </c>
      <c r="C136" t="s">
        <v>230</v>
      </c>
      <c r="N136" s="103"/>
      <c r="O136" s="103"/>
    </row>
    <row r="137" spans="1:15" ht="16.5">
      <c r="A137" t="s">
        <v>271</v>
      </c>
      <c r="B137">
        <v>0.6000000000000001</v>
      </c>
      <c r="D137" s="46"/>
      <c r="N137" s="103"/>
      <c r="O137" s="103"/>
    </row>
    <row r="138" spans="1:15" ht="16.5">
      <c r="A138" t="s">
        <v>273</v>
      </c>
      <c r="B138">
        <v>0.7</v>
      </c>
      <c r="N138" s="103"/>
      <c r="O138" s="103"/>
    </row>
    <row r="139" spans="1:15" ht="16.5">
      <c r="A139" s="117" t="s">
        <v>321</v>
      </c>
      <c r="D139" s="117"/>
      <c r="N139" s="103"/>
      <c r="O139" s="103"/>
    </row>
    <row r="140" spans="1:15" ht="16.5">
      <c r="A140" s="73" t="s">
        <v>276</v>
      </c>
      <c r="B140" s="119">
        <f>B135/B132/B137/B138</f>
        <v>0.019841269841269837</v>
      </c>
      <c r="C140" s="73" t="s">
        <v>236</v>
      </c>
      <c r="N140" s="103"/>
      <c r="O140" s="103"/>
    </row>
    <row r="141" spans="1:15" ht="16.5">
      <c r="A141" t="s">
        <v>237</v>
      </c>
      <c r="B141" s="103">
        <f>B140/0.1</f>
        <v>0.19841269841269835</v>
      </c>
      <c r="C141" t="s">
        <v>238</v>
      </c>
      <c r="D141" s="103">
        <f>B140/0.2</f>
        <v>0.09920634920634917</v>
      </c>
      <c r="E141" t="s">
        <v>238</v>
      </c>
      <c r="N141" s="103"/>
      <c r="O141" s="103"/>
    </row>
    <row r="142" spans="2:15" ht="16.5">
      <c r="B142" t="s">
        <v>99</v>
      </c>
      <c r="D142" t="s">
        <v>98</v>
      </c>
      <c r="F142" t="s">
        <v>279</v>
      </c>
      <c r="N142" s="103"/>
      <c r="O142" s="103"/>
    </row>
    <row r="143" spans="1:15" ht="16.5">
      <c r="A143" s="46" t="s">
        <v>322</v>
      </c>
      <c r="B143" s="46">
        <v>100</v>
      </c>
      <c r="C143" s="95" t="s">
        <v>76</v>
      </c>
      <c r="D143" s="46">
        <v>200</v>
      </c>
      <c r="E143" s="95" t="s">
        <v>76</v>
      </c>
      <c r="F143" s="46"/>
      <c r="G143" s="95"/>
      <c r="N143" s="103"/>
      <c r="O143" s="103"/>
    </row>
    <row r="144" spans="1:15" ht="16.5">
      <c r="A144" s="73" t="s">
        <v>286</v>
      </c>
      <c r="B144" s="119">
        <f>B135/B132/B136</f>
        <v>0.003333333333333333</v>
      </c>
      <c r="C144" s="73" t="s">
        <v>236</v>
      </c>
      <c r="D144" t="s">
        <v>323</v>
      </c>
      <c r="F144" s="72"/>
      <c r="G144" s="72"/>
      <c r="H144" s="72"/>
      <c r="N144" s="103"/>
      <c r="O144" s="103"/>
    </row>
    <row r="145" spans="1:15" ht="16.5">
      <c r="A145" t="s">
        <v>237</v>
      </c>
      <c r="B145" s="103">
        <f>B144/0.05</f>
        <v>0.06666666666666665</v>
      </c>
      <c r="C145" t="s">
        <v>238</v>
      </c>
      <c r="D145" s="103">
        <f>B144/0.07</f>
        <v>0.04761904761904761</v>
      </c>
      <c r="E145" t="s">
        <v>238</v>
      </c>
      <c r="N145" s="103"/>
      <c r="O145" s="103"/>
    </row>
    <row r="146" spans="1:15" ht="16.5">
      <c r="A146" s="46" t="s">
        <v>288</v>
      </c>
      <c r="B146" s="46">
        <v>50</v>
      </c>
      <c r="C146" s="95" t="s">
        <v>76</v>
      </c>
      <c r="D146" s="46">
        <v>70</v>
      </c>
      <c r="E146" s="95" t="s">
        <v>76</v>
      </c>
      <c r="N146" s="103"/>
      <c r="O146" s="103"/>
    </row>
    <row r="147" spans="1:15" ht="16.5">
      <c r="A147" s="46"/>
      <c r="B147" s="46"/>
      <c r="C147" s="95"/>
      <c r="D147" s="46"/>
      <c r="E147" s="95"/>
      <c r="F147" s="46"/>
      <c r="G147" s="95"/>
      <c r="N147" s="103"/>
      <c r="O147" s="103"/>
    </row>
    <row r="148" spans="1:19" ht="16.5">
      <c r="A148" s="107" t="s">
        <v>324</v>
      </c>
      <c r="B148" s="108" t="s">
        <v>127</v>
      </c>
      <c r="C148" s="108"/>
      <c r="D148" s="108"/>
      <c r="E148" s="108"/>
      <c r="F148" s="108"/>
      <c r="G148" s="108"/>
      <c r="H148" s="108"/>
      <c r="I148" s="108"/>
      <c r="J148" s="108"/>
      <c r="K148" s="107" t="s">
        <v>324</v>
      </c>
      <c r="L148" s="108" t="s">
        <v>127</v>
      </c>
      <c r="M148" s="108"/>
      <c r="N148" s="122"/>
      <c r="O148" s="122"/>
      <c r="P148" s="108"/>
      <c r="Q148" s="108"/>
      <c r="R148" s="108"/>
      <c r="S148" s="108"/>
    </row>
    <row r="149" spans="2:15" ht="16.5">
      <c r="B149" t="s">
        <v>249</v>
      </c>
      <c r="F149" t="s">
        <v>250</v>
      </c>
      <c r="N149" s="103"/>
      <c r="O149" s="103"/>
    </row>
    <row r="150" spans="2:15" ht="16.5">
      <c r="B150" s="42">
        <f>Площади!F41</f>
        <v>64.58600000000001</v>
      </c>
      <c r="C150" t="s">
        <v>24</v>
      </c>
      <c r="F150">
        <v>60</v>
      </c>
      <c r="G150" t="s">
        <v>227</v>
      </c>
      <c r="N150" s="103"/>
      <c r="O150" s="103"/>
    </row>
    <row r="151" spans="1:19" ht="16.5">
      <c r="A151" s="73" t="s">
        <v>225</v>
      </c>
      <c r="B151" s="72">
        <v>3600</v>
      </c>
      <c r="C151" s="72" t="s">
        <v>224</v>
      </c>
      <c r="D151" s="114" t="s">
        <v>226</v>
      </c>
      <c r="E151" s="73"/>
      <c r="F151" s="73"/>
      <c r="G151" s="73"/>
      <c r="H151" s="73">
        <f>SUM(F150:F150)</f>
        <v>60</v>
      </c>
      <c r="I151" s="73" t="s">
        <v>227</v>
      </c>
      <c r="J151" s="72"/>
      <c r="K151" s="109" t="s">
        <v>228</v>
      </c>
      <c r="L151" s="110">
        <v>3600</v>
      </c>
      <c r="M151" s="110" t="s">
        <v>224</v>
      </c>
      <c r="N151" s="115" t="s">
        <v>226</v>
      </c>
      <c r="O151" s="109"/>
      <c r="P151" s="109"/>
      <c r="Q151" s="109"/>
      <c r="R151" s="109">
        <f>H151+10</f>
        <v>70</v>
      </c>
      <c r="S151" s="109" t="s">
        <v>227</v>
      </c>
    </row>
    <row r="152" spans="1:14" ht="16.5">
      <c r="A152" s="116" t="s">
        <v>264</v>
      </c>
      <c r="B152" s="116">
        <v>0.6000000000000001</v>
      </c>
      <c r="C152" s="117"/>
      <c r="D152" s="116">
        <v>1.2</v>
      </c>
      <c r="E152" s="117"/>
      <c r="K152" s="111" t="s">
        <v>265</v>
      </c>
      <c r="L152" s="111">
        <v>1</v>
      </c>
      <c r="M152" s="111"/>
      <c r="N152" s="111">
        <v>2</v>
      </c>
    </row>
    <row r="153" spans="1:19" ht="16.5">
      <c r="A153" t="s">
        <v>266</v>
      </c>
      <c r="B153" s="46">
        <v>1</v>
      </c>
      <c r="C153" s="46" t="s">
        <v>120</v>
      </c>
      <c r="E153" t="s">
        <v>314</v>
      </c>
      <c r="I153" s="46"/>
      <c r="K153" t="s">
        <v>266</v>
      </c>
      <c r="L153" s="46">
        <v>1</v>
      </c>
      <c r="M153" s="46" t="s">
        <v>120</v>
      </c>
      <c r="Q153" s="46"/>
      <c r="S153" s="46"/>
    </row>
    <row r="154" spans="1:13" ht="16.5">
      <c r="A154" t="s">
        <v>269</v>
      </c>
      <c r="B154" s="42">
        <f>H151/B153</f>
        <v>60</v>
      </c>
      <c r="C154" t="s">
        <v>227</v>
      </c>
      <c r="I154" s="46"/>
      <c r="K154" t="s">
        <v>269</v>
      </c>
      <c r="L154" s="42">
        <f>R151/L153</f>
        <v>70</v>
      </c>
      <c r="M154" t="s">
        <v>227</v>
      </c>
    </row>
    <row r="155" spans="1:13" ht="16.5">
      <c r="A155" t="s">
        <v>270</v>
      </c>
      <c r="B155">
        <v>2.5</v>
      </c>
      <c r="C155" t="s">
        <v>230</v>
      </c>
      <c r="K155" t="s">
        <v>270</v>
      </c>
      <c r="L155">
        <v>2.5</v>
      </c>
      <c r="M155" t="s">
        <v>230</v>
      </c>
    </row>
    <row r="156" spans="1:17" ht="16.5">
      <c r="A156" t="s">
        <v>271</v>
      </c>
      <c r="B156">
        <v>0.6000000000000001</v>
      </c>
      <c r="D156" s="46"/>
      <c r="K156" t="s">
        <v>272</v>
      </c>
      <c r="L156">
        <v>1</v>
      </c>
      <c r="Q156" s="46"/>
    </row>
    <row r="157" spans="1:12" ht="16.5">
      <c r="A157" t="s">
        <v>273</v>
      </c>
      <c r="B157">
        <v>0.7</v>
      </c>
      <c r="K157" t="s">
        <v>273</v>
      </c>
      <c r="L157">
        <v>0.7</v>
      </c>
    </row>
    <row r="158" spans="1:11" ht="16.5">
      <c r="A158" s="117" t="s">
        <v>325</v>
      </c>
      <c r="D158" s="117"/>
      <c r="K158" s="118" t="s">
        <v>326</v>
      </c>
    </row>
    <row r="159" spans="1:13" ht="16.5">
      <c r="A159" s="73" t="s">
        <v>276</v>
      </c>
      <c r="B159" s="119">
        <f>B154/B151/B156/B157</f>
        <v>0.03968253968253967</v>
      </c>
      <c r="C159" s="73" t="s">
        <v>236</v>
      </c>
      <c r="K159" s="109" t="s">
        <v>278</v>
      </c>
      <c r="L159" s="120">
        <f>L154/L151/L156/L157</f>
        <v>0.027777777777777776</v>
      </c>
      <c r="M159" s="109" t="s">
        <v>236</v>
      </c>
    </row>
    <row r="160" spans="1:15" ht="16.5">
      <c r="A160" t="s">
        <v>237</v>
      </c>
      <c r="B160" s="103">
        <f>B159/0.15</f>
        <v>0.2645502645502645</v>
      </c>
      <c r="C160" t="s">
        <v>238</v>
      </c>
      <c r="D160" s="103">
        <f>B159/0.27</f>
        <v>0.14697236919459136</v>
      </c>
      <c r="E160" t="s">
        <v>238</v>
      </c>
      <c r="K160" t="s">
        <v>327</v>
      </c>
      <c r="L160" s="103">
        <f>(SQRT(L159/PI()))*2</f>
        <v>0.18806319451591877</v>
      </c>
      <c r="M160" t="s">
        <v>281</v>
      </c>
      <c r="N160" s="46">
        <v>150</v>
      </c>
      <c r="O160" s="95" t="s">
        <v>76</v>
      </c>
    </row>
    <row r="161" spans="2:11" ht="16.5">
      <c r="B161" t="s">
        <v>99</v>
      </c>
      <c r="D161" t="s">
        <v>98</v>
      </c>
      <c r="F161" t="s">
        <v>279</v>
      </c>
      <c r="K161" s="118" t="s">
        <v>285</v>
      </c>
    </row>
    <row r="162" spans="1:13" ht="16.5">
      <c r="A162" s="46" t="s">
        <v>328</v>
      </c>
      <c r="B162" s="46">
        <v>150</v>
      </c>
      <c r="C162" s="95" t="s">
        <v>76</v>
      </c>
      <c r="D162" s="46">
        <v>270</v>
      </c>
      <c r="E162" s="95" t="s">
        <v>76</v>
      </c>
      <c r="F162" s="46"/>
      <c r="G162" s="95"/>
      <c r="K162" s="109" t="s">
        <v>286</v>
      </c>
      <c r="L162" s="120">
        <f>L154/L151/L155</f>
        <v>0.0077777777777777776</v>
      </c>
      <c r="M162" s="109" t="s">
        <v>236</v>
      </c>
    </row>
    <row r="163" spans="1:15" ht="16.5">
      <c r="A163" s="73" t="s">
        <v>286</v>
      </c>
      <c r="B163" s="119">
        <f>B154/B151/B155</f>
        <v>0.006666666666666666</v>
      </c>
      <c r="C163" s="73" t="s">
        <v>236</v>
      </c>
      <c r="D163" t="s">
        <v>329</v>
      </c>
      <c r="F163" s="72"/>
      <c r="G163" t="s">
        <v>330</v>
      </c>
      <c r="K163" t="s">
        <v>237</v>
      </c>
      <c r="L163" s="103">
        <f>L162/0.1</f>
        <v>0.07777777777777777</v>
      </c>
      <c r="M163" t="s">
        <v>238</v>
      </c>
      <c r="N163" s="103">
        <f>L162/0.1</f>
        <v>0.07777777777777777</v>
      </c>
      <c r="O163" t="s">
        <v>238</v>
      </c>
    </row>
    <row r="164" spans="1:15" ht="16.5">
      <c r="A164" t="s">
        <v>237</v>
      </c>
      <c r="B164" s="103">
        <f>B163/0.07</f>
        <v>0.09523809523809522</v>
      </c>
      <c r="C164" t="s">
        <v>238</v>
      </c>
      <c r="D164" s="103">
        <f>B163/0.1</f>
        <v>0.06666666666666665</v>
      </c>
      <c r="E164" t="s">
        <v>238</v>
      </c>
      <c r="G164" t="s">
        <v>331</v>
      </c>
      <c r="K164" s="46" t="s">
        <v>288</v>
      </c>
      <c r="L164" s="46">
        <v>100</v>
      </c>
      <c r="M164" s="95" t="s">
        <v>76</v>
      </c>
      <c r="N164" s="46">
        <v>100</v>
      </c>
      <c r="O164" s="95" t="s">
        <v>76</v>
      </c>
    </row>
    <row r="165" spans="1:15" ht="16.5">
      <c r="A165" s="46" t="s">
        <v>288</v>
      </c>
      <c r="B165" s="46">
        <v>70</v>
      </c>
      <c r="C165" s="95" t="s">
        <v>76</v>
      </c>
      <c r="D165" s="46">
        <v>100</v>
      </c>
      <c r="E165" s="95" t="s">
        <v>76</v>
      </c>
      <c r="K165" s="108" t="s">
        <v>290</v>
      </c>
      <c r="L165" s="108">
        <v>160</v>
      </c>
      <c r="M165" s="22" t="s">
        <v>76</v>
      </c>
      <c r="N165" s="108"/>
      <c r="O165" s="22"/>
    </row>
    <row r="166" spans="1:5" ht="16.5">
      <c r="A166" s="46"/>
      <c r="B166" s="46"/>
      <c r="C166" s="95"/>
      <c r="D166" s="46"/>
      <c r="E166" s="95"/>
    </row>
    <row r="167" spans="1:8" ht="16.5">
      <c r="A167" s="73" t="s">
        <v>332</v>
      </c>
      <c r="B167" s="119">
        <f>B163+B186+B144</f>
        <v>0.017777777777777778</v>
      </c>
      <c r="C167" s="73" t="s">
        <v>236</v>
      </c>
      <c r="D167" t="s">
        <v>333</v>
      </c>
      <c r="F167" s="72"/>
      <c r="G167" s="72"/>
      <c r="H167" s="72"/>
    </row>
    <row r="168" spans="1:5" ht="16.5">
      <c r="A168" t="s">
        <v>237</v>
      </c>
      <c r="B168" s="103">
        <f>B167/0.13</f>
        <v>0.13675213675213674</v>
      </c>
      <c r="C168" t="s">
        <v>238</v>
      </c>
      <c r="D168" s="103">
        <f>B167/0.13</f>
        <v>0.13675213675213674</v>
      </c>
      <c r="E168" t="s">
        <v>238</v>
      </c>
    </row>
    <row r="169" spans="1:5" ht="16.5">
      <c r="A169" s="46" t="s">
        <v>288</v>
      </c>
      <c r="B169" s="46">
        <v>150</v>
      </c>
      <c r="C169" s="95" t="s">
        <v>76</v>
      </c>
      <c r="D169" s="46">
        <v>150</v>
      </c>
      <c r="E169" s="95" t="s">
        <v>76</v>
      </c>
    </row>
    <row r="171" spans="1:19" ht="16.5">
      <c r="A171" s="107" t="s">
        <v>334</v>
      </c>
      <c r="B171" s="108" t="s">
        <v>127</v>
      </c>
      <c r="C171" s="108"/>
      <c r="D171" s="108"/>
      <c r="E171" s="108"/>
      <c r="F171" s="108"/>
      <c r="G171" s="108"/>
      <c r="H171" s="108"/>
      <c r="I171" s="108"/>
      <c r="J171" s="108"/>
      <c r="K171" s="107" t="s">
        <v>335</v>
      </c>
      <c r="L171" s="108" t="s">
        <v>127</v>
      </c>
      <c r="M171" s="108"/>
      <c r="N171" s="122"/>
      <c r="O171" s="122"/>
      <c r="P171" s="108"/>
      <c r="Q171" s="108"/>
      <c r="R171" s="108"/>
      <c r="S171" s="108"/>
    </row>
    <row r="172" spans="1:15" ht="16.5">
      <c r="A172" t="s">
        <v>336</v>
      </c>
      <c r="B172" t="s">
        <v>249</v>
      </c>
      <c r="N172" s="103"/>
      <c r="O172" s="103"/>
    </row>
    <row r="173" spans="2:15" ht="16.5">
      <c r="B173" s="42">
        <f>Площади!F33</f>
        <v>58.65</v>
      </c>
      <c r="C173" t="s">
        <v>24</v>
      </c>
      <c r="D173" s="42">
        <f>Площади!F39</f>
        <v>21.96</v>
      </c>
      <c r="E173" t="s">
        <v>24</v>
      </c>
      <c r="F173" s="42">
        <f>Площади!F40</f>
        <v>11.6</v>
      </c>
      <c r="G173" t="s">
        <v>24</v>
      </c>
      <c r="N173" s="103"/>
      <c r="O173" s="103"/>
    </row>
    <row r="174" spans="1:19" ht="16.5">
      <c r="A174" s="73" t="s">
        <v>225</v>
      </c>
      <c r="B174" s="72">
        <v>3600</v>
      </c>
      <c r="C174" s="72" t="s">
        <v>224</v>
      </c>
      <c r="D174" s="114" t="s">
        <v>226</v>
      </c>
      <c r="E174" s="73"/>
      <c r="F174" s="73"/>
      <c r="G174" s="73"/>
      <c r="H174" s="73">
        <v>70</v>
      </c>
      <c r="I174" s="73" t="s">
        <v>227</v>
      </c>
      <c r="J174" s="72"/>
      <c r="K174" s="109" t="s">
        <v>228</v>
      </c>
      <c r="L174" s="110">
        <v>3600</v>
      </c>
      <c r="M174" s="110" t="s">
        <v>224</v>
      </c>
      <c r="N174" s="115" t="s">
        <v>226</v>
      </c>
      <c r="O174" s="109"/>
      <c r="P174" s="109"/>
      <c r="Q174" s="109"/>
      <c r="R174" s="109">
        <v>60</v>
      </c>
      <c r="S174" s="109" t="s">
        <v>227</v>
      </c>
    </row>
    <row r="175" spans="1:14" ht="16.5">
      <c r="A175" s="116" t="s">
        <v>264</v>
      </c>
      <c r="B175" s="116">
        <v>0.6000000000000001</v>
      </c>
      <c r="C175" s="117"/>
      <c r="D175" s="116">
        <v>1.2</v>
      </c>
      <c r="E175" s="117"/>
      <c r="K175" s="111" t="s">
        <v>265</v>
      </c>
      <c r="L175" s="111">
        <v>1</v>
      </c>
      <c r="M175" s="111"/>
      <c r="N175" s="111">
        <v>2</v>
      </c>
    </row>
    <row r="176" spans="1:19" ht="16.5">
      <c r="A176" t="s">
        <v>266</v>
      </c>
      <c r="B176" s="46">
        <v>1</v>
      </c>
      <c r="C176" s="46" t="s">
        <v>120</v>
      </c>
      <c r="E176" t="s">
        <v>314</v>
      </c>
      <c r="I176" s="46"/>
      <c r="K176" t="s">
        <v>266</v>
      </c>
      <c r="L176" s="46">
        <v>1</v>
      </c>
      <c r="M176" s="46" t="s">
        <v>120</v>
      </c>
      <c r="N176" t="s">
        <v>337</v>
      </c>
      <c r="Q176" s="46"/>
      <c r="S176" s="46"/>
    </row>
    <row r="177" spans="1:13" ht="16.5">
      <c r="A177" t="s">
        <v>269</v>
      </c>
      <c r="B177" s="42">
        <f>H174/B176</f>
        <v>70</v>
      </c>
      <c r="C177" t="s">
        <v>227</v>
      </c>
      <c r="I177" s="46"/>
      <c r="K177" t="s">
        <v>269</v>
      </c>
      <c r="L177" s="42">
        <f>R174/L176</f>
        <v>60</v>
      </c>
      <c r="M177" t="s">
        <v>227</v>
      </c>
    </row>
    <row r="178" spans="1:13" ht="16.5">
      <c r="A178" t="s">
        <v>270</v>
      </c>
      <c r="B178">
        <v>2.5</v>
      </c>
      <c r="C178" t="s">
        <v>230</v>
      </c>
      <c r="K178" t="s">
        <v>270</v>
      </c>
      <c r="L178">
        <v>2.5</v>
      </c>
      <c r="M178" t="s">
        <v>230</v>
      </c>
    </row>
    <row r="179" spans="1:17" ht="16.5">
      <c r="A179" t="s">
        <v>271</v>
      </c>
      <c r="B179">
        <v>0.6000000000000001</v>
      </c>
      <c r="D179" s="46"/>
      <c r="K179" t="s">
        <v>272</v>
      </c>
      <c r="L179">
        <v>1</v>
      </c>
      <c r="Q179" s="46"/>
    </row>
    <row r="180" spans="1:12" ht="16.5">
      <c r="A180" t="s">
        <v>273</v>
      </c>
      <c r="B180">
        <v>0.7</v>
      </c>
      <c r="K180" t="s">
        <v>273</v>
      </c>
      <c r="L180">
        <v>0.7</v>
      </c>
    </row>
    <row r="181" spans="1:11" ht="16.5">
      <c r="A181" s="117" t="s">
        <v>338</v>
      </c>
      <c r="D181" s="117"/>
      <c r="K181" s="118" t="s">
        <v>339</v>
      </c>
    </row>
    <row r="182" spans="1:13" ht="16.5">
      <c r="A182" s="73" t="s">
        <v>276</v>
      </c>
      <c r="B182" s="119">
        <f>B177/B174/B179/B180</f>
        <v>0.04629629629629629</v>
      </c>
      <c r="C182" s="73" t="s">
        <v>236</v>
      </c>
      <c r="K182" s="109" t="s">
        <v>278</v>
      </c>
      <c r="L182" s="120">
        <f>L177/L174/L179/L180</f>
        <v>0.023809523809523808</v>
      </c>
      <c r="M182" s="109" t="s">
        <v>236</v>
      </c>
    </row>
    <row r="183" spans="1:15" ht="16.5">
      <c r="A183" t="s">
        <v>237</v>
      </c>
      <c r="B183" s="103">
        <f>B182/0.15</f>
        <v>0.3086419753086419</v>
      </c>
      <c r="C183" t="s">
        <v>238</v>
      </c>
      <c r="D183" s="103">
        <f>B182/0.31</f>
        <v>0.1493428912783751</v>
      </c>
      <c r="E183" t="s">
        <v>238</v>
      </c>
      <c r="K183" t="s">
        <v>340</v>
      </c>
      <c r="L183" s="103">
        <f>(SQRT(L182/PI()))*2</f>
        <v>0.17411268551027267</v>
      </c>
      <c r="M183" t="s">
        <v>281</v>
      </c>
      <c r="N183" s="46">
        <v>150</v>
      </c>
      <c r="O183" s="95" t="s">
        <v>76</v>
      </c>
    </row>
    <row r="184" spans="2:11" ht="16.5">
      <c r="B184" t="s">
        <v>99</v>
      </c>
      <c r="D184" t="s">
        <v>98</v>
      </c>
      <c r="F184" t="s">
        <v>279</v>
      </c>
      <c r="K184" s="118" t="s">
        <v>285</v>
      </c>
    </row>
    <row r="185" spans="1:13" ht="16.5">
      <c r="A185" s="46" t="s">
        <v>341</v>
      </c>
      <c r="B185" s="107">
        <v>150</v>
      </c>
      <c r="C185" s="95" t="s">
        <v>76</v>
      </c>
      <c r="D185" s="107">
        <v>310</v>
      </c>
      <c r="E185" s="95" t="s">
        <v>76</v>
      </c>
      <c r="F185" s="46"/>
      <c r="G185" s="95"/>
      <c r="K185" s="109" t="s">
        <v>286</v>
      </c>
      <c r="L185" s="120">
        <f>(L177*P186)/L174/L178</f>
        <v>0.006666666666666666</v>
      </c>
      <c r="M185" s="109" t="s">
        <v>236</v>
      </c>
    </row>
    <row r="186" spans="1:16" ht="16.5">
      <c r="A186" s="73" t="s">
        <v>286</v>
      </c>
      <c r="B186" s="119">
        <f>B177/B174/B178</f>
        <v>0.0077777777777777776</v>
      </c>
      <c r="C186" s="73" t="s">
        <v>236</v>
      </c>
      <c r="D186" t="s">
        <v>342</v>
      </c>
      <c r="F186" s="72"/>
      <c r="G186" s="72"/>
      <c r="H186" s="72"/>
      <c r="K186" t="s">
        <v>237</v>
      </c>
      <c r="L186" s="103">
        <f>L185/0.05</f>
        <v>0.1333333333333333</v>
      </c>
      <c r="M186" t="s">
        <v>238</v>
      </c>
      <c r="N186" s="103">
        <f>L185/0.13</f>
        <v>0.05128205128205128</v>
      </c>
      <c r="O186" t="s">
        <v>238</v>
      </c>
      <c r="P186">
        <v>1</v>
      </c>
    </row>
    <row r="187" spans="1:15" ht="16.5">
      <c r="A187" t="s">
        <v>237</v>
      </c>
      <c r="B187" s="103">
        <f>B186/0.05</f>
        <v>0.15555555555555553</v>
      </c>
      <c r="C187" t="s">
        <v>238</v>
      </c>
      <c r="D187" s="103">
        <f>B186/0.15</f>
        <v>0.05185185185185185</v>
      </c>
      <c r="E187" t="s">
        <v>238</v>
      </c>
      <c r="K187" s="46" t="s">
        <v>288</v>
      </c>
      <c r="L187" s="46">
        <v>50</v>
      </c>
      <c r="M187" s="95" t="s">
        <v>76</v>
      </c>
      <c r="N187" s="46">
        <v>130</v>
      </c>
      <c r="O187" s="95" t="s">
        <v>76</v>
      </c>
    </row>
    <row r="188" spans="1:15" ht="16.5">
      <c r="A188" s="46" t="s">
        <v>288</v>
      </c>
      <c r="B188" s="46">
        <v>50</v>
      </c>
      <c r="C188" s="95" t="s">
        <v>76</v>
      </c>
      <c r="D188" s="46">
        <v>150</v>
      </c>
      <c r="E188" s="95" t="s">
        <v>76</v>
      </c>
      <c r="K188" s="108" t="s">
        <v>290</v>
      </c>
      <c r="L188" s="108">
        <v>2050</v>
      </c>
      <c r="M188" s="22" t="s">
        <v>76</v>
      </c>
      <c r="N188" s="108"/>
      <c r="O188" s="22"/>
    </row>
    <row r="190" spans="1:10" ht="16.5">
      <c r="A190" s="107" t="s">
        <v>31</v>
      </c>
      <c r="B190" s="108" t="s">
        <v>121</v>
      </c>
      <c r="C190" s="108"/>
      <c r="D190" s="108"/>
      <c r="E190" s="108"/>
      <c r="F190" s="108"/>
      <c r="G190" s="108"/>
      <c r="H190" s="108"/>
      <c r="I190" s="108"/>
      <c r="J190" s="108"/>
    </row>
    <row r="191" spans="1:19" ht="16.5">
      <c r="A191" t="s">
        <v>249</v>
      </c>
      <c r="B191" s="42">
        <f>Площади!F13</f>
        <v>69.47999999999999</v>
      </c>
      <c r="C191" t="s">
        <v>24</v>
      </c>
      <c r="F191">
        <v>460</v>
      </c>
      <c r="G191" t="s">
        <v>227</v>
      </c>
      <c r="K191" s="107" t="s">
        <v>31</v>
      </c>
      <c r="L191" s="108" t="s">
        <v>121</v>
      </c>
      <c r="M191" s="108"/>
      <c r="N191" s="108"/>
      <c r="O191" s="108"/>
      <c r="P191" s="108"/>
      <c r="Q191" s="108"/>
      <c r="R191" s="108"/>
      <c r="S191" s="108"/>
    </row>
    <row r="192" spans="2:3" ht="16.5">
      <c r="B192" s="42">
        <f>Площади!F14</f>
        <v>7.986000000000001</v>
      </c>
      <c r="C192" t="s">
        <v>24</v>
      </c>
    </row>
    <row r="193" spans="2:3" ht="16.5">
      <c r="B193" s="42">
        <f>Площади!F15</f>
        <v>11.6816</v>
      </c>
      <c r="C193" t="s">
        <v>24</v>
      </c>
    </row>
    <row r="194" spans="1:19" ht="16.5">
      <c r="A194" s="73" t="s">
        <v>225</v>
      </c>
      <c r="B194" s="72">
        <v>3600</v>
      </c>
      <c r="C194" s="72" t="s">
        <v>224</v>
      </c>
      <c r="D194" s="114" t="s">
        <v>226</v>
      </c>
      <c r="E194" s="73"/>
      <c r="F194" s="73"/>
      <c r="G194" s="73"/>
      <c r="H194" s="73">
        <f>F191</f>
        <v>460</v>
      </c>
      <c r="I194" s="73" t="s">
        <v>227</v>
      </c>
      <c r="J194" s="72"/>
      <c r="K194" s="109" t="s">
        <v>228</v>
      </c>
      <c r="L194" s="110">
        <v>3600</v>
      </c>
      <c r="M194" s="110" t="s">
        <v>224</v>
      </c>
      <c r="N194" s="115" t="s">
        <v>226</v>
      </c>
      <c r="O194" s="109"/>
      <c r="P194" s="109"/>
      <c r="Q194" s="109"/>
      <c r="R194" s="109">
        <v>520</v>
      </c>
      <c r="S194" s="109" t="s">
        <v>227</v>
      </c>
    </row>
    <row r="195" spans="1:14" ht="16.5">
      <c r="A195" s="116" t="s">
        <v>264</v>
      </c>
      <c r="B195" s="116">
        <v>0.6000000000000001</v>
      </c>
      <c r="C195" s="117"/>
      <c r="D195" s="116">
        <v>1.2</v>
      </c>
      <c r="E195" s="117"/>
      <c r="K195" s="111" t="s">
        <v>265</v>
      </c>
      <c r="L195" s="111">
        <v>1</v>
      </c>
      <c r="M195" s="111"/>
      <c r="N195" s="111">
        <v>2</v>
      </c>
    </row>
    <row r="196" spans="1:19" ht="16.5">
      <c r="A196" t="s">
        <v>266</v>
      </c>
      <c r="B196" s="46">
        <v>7</v>
      </c>
      <c r="C196" s="46" t="s">
        <v>120</v>
      </c>
      <c r="D196" s="46"/>
      <c r="E196" t="s">
        <v>343</v>
      </c>
      <c r="K196" t="s">
        <v>266</v>
      </c>
      <c r="L196" s="46">
        <v>6</v>
      </c>
      <c r="M196" s="46" t="s">
        <v>120</v>
      </c>
      <c r="O196" t="s">
        <v>267</v>
      </c>
      <c r="Q196" s="46"/>
      <c r="S196" s="46"/>
    </row>
    <row r="197" spans="1:13" ht="16.5">
      <c r="A197" t="s">
        <v>269</v>
      </c>
      <c r="B197" s="42">
        <f>H194/B196</f>
        <v>65.71428571428571</v>
      </c>
      <c r="C197" t="s">
        <v>227</v>
      </c>
      <c r="K197" t="s">
        <v>269</v>
      </c>
      <c r="L197" s="42">
        <f>R194/L196</f>
        <v>86.66666666666667</v>
      </c>
      <c r="M197" t="s">
        <v>227</v>
      </c>
    </row>
    <row r="198" spans="1:13" ht="16.5">
      <c r="A198" t="s">
        <v>270</v>
      </c>
      <c r="B198">
        <v>2.5</v>
      </c>
      <c r="C198" t="s">
        <v>230</v>
      </c>
      <c r="K198" t="s">
        <v>270</v>
      </c>
      <c r="L198">
        <v>2.5</v>
      </c>
      <c r="M198" t="s">
        <v>230</v>
      </c>
    </row>
    <row r="199" spans="1:17" ht="16.5">
      <c r="A199" t="s">
        <v>344</v>
      </c>
      <c r="B199">
        <v>0.5</v>
      </c>
      <c r="D199" s="46"/>
      <c r="K199" t="s">
        <v>272</v>
      </c>
      <c r="L199">
        <v>1</v>
      </c>
      <c r="Q199" s="46"/>
    </row>
    <row r="200" spans="1:12" ht="16.5">
      <c r="A200" t="s">
        <v>273</v>
      </c>
      <c r="B200">
        <v>0.5</v>
      </c>
      <c r="K200" t="s">
        <v>273</v>
      </c>
      <c r="L200">
        <v>0.7</v>
      </c>
    </row>
    <row r="201" spans="1:15" ht="16.5">
      <c r="A201" s="73" t="s">
        <v>276</v>
      </c>
      <c r="B201" s="119">
        <f>B197/B194/B199/B200</f>
        <v>0.073015873015873</v>
      </c>
      <c r="C201" s="73" t="s">
        <v>236</v>
      </c>
      <c r="K201" s="109" t="s">
        <v>345</v>
      </c>
      <c r="L201" s="110"/>
      <c r="N201" s="120">
        <f>L197/L194/L199/L200</f>
        <v>0.03439153439153439</v>
      </c>
      <c r="O201" s="109" t="s">
        <v>236</v>
      </c>
    </row>
    <row r="202" spans="1:15" ht="16.5">
      <c r="A202" t="s">
        <v>237</v>
      </c>
      <c r="B202" s="103">
        <f>B201/0.2</f>
        <v>0.365079365079365</v>
      </c>
      <c r="C202" t="s">
        <v>238</v>
      </c>
      <c r="D202" s="103">
        <f>B201/0.4</f>
        <v>0.1825396825396825</v>
      </c>
      <c r="E202" t="s">
        <v>238</v>
      </c>
      <c r="K202" t="s">
        <v>237</v>
      </c>
      <c r="L202" s="103">
        <f>N201/0.2</f>
        <v>0.17195767195767195</v>
      </c>
      <c r="M202" t="s">
        <v>238</v>
      </c>
      <c r="N202" s="103">
        <f>N201/0.17</f>
        <v>0.20230314347961403</v>
      </c>
      <c r="O202" t="s">
        <v>238</v>
      </c>
    </row>
    <row r="203" spans="2:16" ht="16.5">
      <c r="B203" t="s">
        <v>99</v>
      </c>
      <c r="D203" t="s">
        <v>98</v>
      </c>
      <c r="F203" t="s">
        <v>279</v>
      </c>
      <c r="L203" t="s">
        <v>99</v>
      </c>
      <c r="N203" t="s">
        <v>98</v>
      </c>
      <c r="P203" t="s">
        <v>279</v>
      </c>
    </row>
    <row r="204" spans="1:18" ht="16.5">
      <c r="A204" s="46" t="s">
        <v>346</v>
      </c>
      <c r="D204" s="46">
        <v>200</v>
      </c>
      <c r="E204" s="95" t="s">
        <v>76</v>
      </c>
      <c r="F204" s="46">
        <v>400</v>
      </c>
      <c r="G204" s="95" t="s">
        <v>76</v>
      </c>
      <c r="K204" s="46"/>
      <c r="L204" s="46">
        <v>200</v>
      </c>
      <c r="M204" s="95" t="s">
        <v>76</v>
      </c>
      <c r="N204" s="46">
        <v>200</v>
      </c>
      <c r="O204" s="95" t="s">
        <v>76</v>
      </c>
      <c r="P204" s="46"/>
      <c r="R204" s="46"/>
    </row>
    <row r="205" spans="1:18" ht="16.5">
      <c r="A205" s="117" t="s">
        <v>347</v>
      </c>
      <c r="B205" s="103"/>
      <c r="D205" s="103"/>
      <c r="F205" s="121"/>
      <c r="G205" s="121"/>
      <c r="K205" s="118" t="s">
        <v>294</v>
      </c>
      <c r="Q205" s="46"/>
      <c r="R205" s="46"/>
    </row>
    <row r="206" spans="1:18" ht="16.5">
      <c r="A206" s="73" t="s">
        <v>286</v>
      </c>
      <c r="B206" s="119">
        <f>(B197*F207)/B194/B198</f>
        <v>0.0073015873015873</v>
      </c>
      <c r="C206" s="73" t="s">
        <v>236</v>
      </c>
      <c r="D206" t="s">
        <v>348</v>
      </c>
      <c r="F206" s="72"/>
      <c r="G206" s="72"/>
      <c r="H206" s="72"/>
      <c r="Q206" s="46"/>
      <c r="R206" s="46"/>
    </row>
    <row r="207" spans="1:16" ht="16.5">
      <c r="A207" t="s">
        <v>237</v>
      </c>
      <c r="B207" s="103">
        <f>B206/0.08</f>
        <v>0.09126984126984125</v>
      </c>
      <c r="C207" t="s">
        <v>238</v>
      </c>
      <c r="D207" s="103">
        <f>B206/0.1</f>
        <v>0.07301587301587299</v>
      </c>
      <c r="E207" t="s">
        <v>238</v>
      </c>
      <c r="F207">
        <v>1</v>
      </c>
      <c r="K207" s="109" t="s">
        <v>286</v>
      </c>
      <c r="L207" s="120">
        <f>(L197*P208)/L194/L198</f>
        <v>0.00962962962962963</v>
      </c>
      <c r="M207" s="109" t="s">
        <v>236</v>
      </c>
      <c r="N207" t="s">
        <v>349</v>
      </c>
      <c r="P207" s="110"/>
    </row>
    <row r="208" spans="1:16" ht="16.5">
      <c r="A208" s="46" t="s">
        <v>288</v>
      </c>
      <c r="B208" s="46">
        <v>80</v>
      </c>
      <c r="C208" s="95" t="s">
        <v>76</v>
      </c>
      <c r="D208" s="46">
        <v>100</v>
      </c>
      <c r="E208" s="95" t="s">
        <v>76</v>
      </c>
      <c r="K208" t="s">
        <v>237</v>
      </c>
      <c r="L208" s="103">
        <f>L207/0.1</f>
        <v>0.0962962962962963</v>
      </c>
      <c r="M208" t="s">
        <v>238</v>
      </c>
      <c r="N208" s="103">
        <f>L207/0.1</f>
        <v>0.0962962962962963</v>
      </c>
      <c r="O208" t="s">
        <v>238</v>
      </c>
      <c r="P208">
        <v>1</v>
      </c>
    </row>
    <row r="209" spans="1:19" ht="16.5">
      <c r="A209" s="73" t="s">
        <v>286</v>
      </c>
      <c r="B209" s="119">
        <f>(B197*F210)/B194/B198</f>
        <v>0.0146031746031746</v>
      </c>
      <c r="C209" s="73" t="s">
        <v>236</v>
      </c>
      <c r="D209" t="s">
        <v>350</v>
      </c>
      <c r="F209" s="72"/>
      <c r="G209" s="72"/>
      <c r="H209" s="72"/>
      <c r="K209" s="46" t="s">
        <v>288</v>
      </c>
      <c r="L209" s="46">
        <v>100</v>
      </c>
      <c r="M209" s="95" t="s">
        <v>76</v>
      </c>
      <c r="N209" s="46">
        <v>100</v>
      </c>
      <c r="O209" s="95" t="s">
        <v>76</v>
      </c>
      <c r="S209" s="117"/>
    </row>
    <row r="210" spans="1:15" ht="16.5">
      <c r="A210" t="s">
        <v>237</v>
      </c>
      <c r="B210" s="103">
        <f>B209/0.16</f>
        <v>0.09126984126984125</v>
      </c>
      <c r="C210" t="s">
        <v>238</v>
      </c>
      <c r="D210" s="103">
        <f>B209/0.1</f>
        <v>0.14603174603174598</v>
      </c>
      <c r="E210" t="s">
        <v>238</v>
      </c>
      <c r="F210">
        <v>2</v>
      </c>
      <c r="K210" s="108" t="s">
        <v>290</v>
      </c>
      <c r="L210" s="108">
        <v>1900</v>
      </c>
      <c r="M210" s="22" t="s">
        <v>76</v>
      </c>
      <c r="N210" s="108"/>
      <c r="O210" s="22"/>
    </row>
    <row r="211" spans="1:16" ht="16.5">
      <c r="A211" s="46" t="s">
        <v>288</v>
      </c>
      <c r="B211" s="46">
        <v>160</v>
      </c>
      <c r="C211" s="95" t="s">
        <v>76</v>
      </c>
      <c r="D211" s="46">
        <v>100</v>
      </c>
      <c r="E211" s="95" t="s">
        <v>76</v>
      </c>
      <c r="K211" s="109" t="s">
        <v>286</v>
      </c>
      <c r="L211" s="120">
        <f>(L197*P212)/L194/L198</f>
        <v>0.01925925925925926</v>
      </c>
      <c r="M211" s="109" t="s">
        <v>236</v>
      </c>
      <c r="N211" t="s">
        <v>351</v>
      </c>
      <c r="P211" s="110"/>
    </row>
    <row r="212" spans="1:16" ht="16.5">
      <c r="A212" s="73" t="s">
        <v>286</v>
      </c>
      <c r="B212" s="119">
        <f>(B197*F213)/B194/B198</f>
        <v>0.021904761904761903</v>
      </c>
      <c r="C212" s="73" t="s">
        <v>236</v>
      </c>
      <c r="D212" t="s">
        <v>352</v>
      </c>
      <c r="F212" s="72"/>
      <c r="G212" s="72"/>
      <c r="H212" s="72"/>
      <c r="K212" t="s">
        <v>237</v>
      </c>
      <c r="L212" s="103">
        <f>L211/0.1</f>
        <v>0.1925925925925926</v>
      </c>
      <c r="M212" t="s">
        <v>238</v>
      </c>
      <c r="N212" s="103">
        <f>L211/0.2</f>
        <v>0.0962962962962963</v>
      </c>
      <c r="O212" t="s">
        <v>238</v>
      </c>
      <c r="P212">
        <v>2</v>
      </c>
    </row>
    <row r="213" spans="1:18" ht="16.5">
      <c r="A213" t="s">
        <v>237</v>
      </c>
      <c r="B213" s="103">
        <f>B212/0.16</f>
        <v>0.1369047619047619</v>
      </c>
      <c r="C213" t="s">
        <v>238</v>
      </c>
      <c r="D213" s="103">
        <f>B212/0.15</f>
        <v>0.146031746031746</v>
      </c>
      <c r="E213" t="s">
        <v>238</v>
      </c>
      <c r="F213">
        <v>3</v>
      </c>
      <c r="K213" s="46" t="s">
        <v>288</v>
      </c>
      <c r="L213" s="46">
        <v>100</v>
      </c>
      <c r="M213" s="95" t="s">
        <v>76</v>
      </c>
      <c r="N213" s="46">
        <v>200</v>
      </c>
      <c r="O213" s="95" t="s">
        <v>76</v>
      </c>
      <c r="R213" s="46"/>
    </row>
    <row r="214" spans="1:17" ht="16.5">
      <c r="A214" s="46" t="s">
        <v>288</v>
      </c>
      <c r="B214" s="46">
        <v>160</v>
      </c>
      <c r="C214" s="95" t="s">
        <v>76</v>
      </c>
      <c r="D214" s="46">
        <v>150</v>
      </c>
      <c r="E214" s="95" t="s">
        <v>76</v>
      </c>
      <c r="K214" s="108" t="s">
        <v>290</v>
      </c>
      <c r="L214" s="108">
        <v>1600</v>
      </c>
      <c r="M214" s="22" t="s">
        <v>76</v>
      </c>
      <c r="N214" s="108"/>
      <c r="O214" s="22"/>
      <c r="Q214" s="46"/>
    </row>
    <row r="215" spans="1:16" ht="16.5">
      <c r="A215" s="73" t="s">
        <v>286</v>
      </c>
      <c r="B215" s="119">
        <f>(B197*F216)/B194/B198</f>
        <v>0.0292063492063492</v>
      </c>
      <c r="C215" s="73" t="s">
        <v>236</v>
      </c>
      <c r="D215" t="s">
        <v>353</v>
      </c>
      <c r="F215" s="72"/>
      <c r="G215" s="72"/>
      <c r="H215" s="72"/>
      <c r="K215" s="109" t="s">
        <v>286</v>
      </c>
      <c r="L215" s="120">
        <f>(L197*P216)/L194/L198</f>
        <v>0.028888888888888888</v>
      </c>
      <c r="M215" s="109" t="s">
        <v>236</v>
      </c>
      <c r="N215" t="s">
        <v>354</v>
      </c>
      <c r="P215" s="110"/>
    </row>
    <row r="216" spans="1:16" ht="16.5">
      <c r="A216" t="s">
        <v>237</v>
      </c>
      <c r="B216" s="103">
        <f>B215/0.16</f>
        <v>0.1825396825396825</v>
      </c>
      <c r="C216" t="s">
        <v>238</v>
      </c>
      <c r="D216" s="103">
        <f>B215/0.2</f>
        <v>0.14603174603174598</v>
      </c>
      <c r="E216" t="s">
        <v>238</v>
      </c>
      <c r="F216">
        <v>4</v>
      </c>
      <c r="K216" t="s">
        <v>237</v>
      </c>
      <c r="L216" s="103">
        <f>L215/0.15</f>
        <v>0.1925925925925926</v>
      </c>
      <c r="M216" t="s">
        <v>238</v>
      </c>
      <c r="N216" s="103">
        <f>L215/0.2</f>
        <v>0.14444444444444443</v>
      </c>
      <c r="O216" t="s">
        <v>238</v>
      </c>
      <c r="P216">
        <v>3</v>
      </c>
    </row>
    <row r="217" spans="1:15" ht="16.5">
      <c r="A217" s="46" t="s">
        <v>288</v>
      </c>
      <c r="B217" s="46">
        <v>160</v>
      </c>
      <c r="C217" s="95" t="s">
        <v>76</v>
      </c>
      <c r="D217" s="46">
        <v>200</v>
      </c>
      <c r="E217" s="95" t="s">
        <v>76</v>
      </c>
      <c r="K217" s="46" t="s">
        <v>288</v>
      </c>
      <c r="L217" s="46">
        <v>150</v>
      </c>
      <c r="M217" s="95" t="s">
        <v>76</v>
      </c>
      <c r="N217" s="46">
        <v>200</v>
      </c>
      <c r="O217" s="95" t="s">
        <v>76</v>
      </c>
    </row>
    <row r="218" spans="1:15" ht="16.5">
      <c r="A218" s="73" t="s">
        <v>286</v>
      </c>
      <c r="B218" s="119">
        <f>(B197*F219)/B194/B198</f>
        <v>0.0365079365079365</v>
      </c>
      <c r="C218" s="73" t="s">
        <v>236</v>
      </c>
      <c r="D218" t="s">
        <v>355</v>
      </c>
      <c r="F218" s="72"/>
      <c r="G218" s="72"/>
      <c r="H218" s="72"/>
      <c r="K218" s="108" t="s">
        <v>290</v>
      </c>
      <c r="L218" s="108">
        <v>600</v>
      </c>
      <c r="M218" s="22" t="s">
        <v>76</v>
      </c>
      <c r="N218" s="108"/>
      <c r="O218" s="22"/>
    </row>
    <row r="219" spans="1:16" ht="16.5">
      <c r="A219" t="s">
        <v>237</v>
      </c>
      <c r="B219" s="103">
        <f>B218/0.2</f>
        <v>0.1825396825396825</v>
      </c>
      <c r="C219" t="s">
        <v>238</v>
      </c>
      <c r="D219" s="103">
        <f>B218/0.2</f>
        <v>0.1825396825396825</v>
      </c>
      <c r="E219" t="s">
        <v>238</v>
      </c>
      <c r="F219">
        <v>5</v>
      </c>
      <c r="K219" s="109" t="s">
        <v>286</v>
      </c>
      <c r="L219" s="120">
        <f>(L197*P220)/L194/L198+L84</f>
        <v>0.035555555555555556</v>
      </c>
      <c r="M219" s="109" t="s">
        <v>236</v>
      </c>
      <c r="N219" t="s">
        <v>356</v>
      </c>
      <c r="P219" s="110"/>
    </row>
    <row r="220" spans="1:16" ht="16.5">
      <c r="A220" s="46" t="s">
        <v>288</v>
      </c>
      <c r="B220" s="46">
        <v>200</v>
      </c>
      <c r="C220" s="95" t="s">
        <v>76</v>
      </c>
      <c r="D220" s="46">
        <v>200</v>
      </c>
      <c r="E220" s="95" t="s">
        <v>76</v>
      </c>
      <c r="K220" t="s">
        <v>237</v>
      </c>
      <c r="L220" s="42">
        <f>L219/0.2</f>
        <v>0.17777777777777776</v>
      </c>
      <c r="N220" s="42">
        <f>L219/0.2</f>
        <v>0.17777777777777776</v>
      </c>
      <c r="P220">
        <v>3</v>
      </c>
    </row>
    <row r="221" spans="1:19" ht="16.5">
      <c r="A221" s="73" t="s">
        <v>286</v>
      </c>
      <c r="B221" s="119">
        <f>(B197*F222)/B194/B198</f>
        <v>0.043809523809523805</v>
      </c>
      <c r="C221" s="73" t="s">
        <v>236</v>
      </c>
      <c r="D221" t="s">
        <v>357</v>
      </c>
      <c r="F221" s="72"/>
      <c r="G221" s="72"/>
      <c r="H221" s="72"/>
      <c r="K221" s="46" t="s">
        <v>288</v>
      </c>
      <c r="L221" s="46">
        <v>200</v>
      </c>
      <c r="N221" s="46">
        <v>200</v>
      </c>
      <c r="S221" s="117"/>
    </row>
    <row r="222" spans="1:19" ht="16.5">
      <c r="A222" t="s">
        <v>237</v>
      </c>
      <c r="B222" s="103">
        <f>B221/0.2</f>
        <v>0.21904761904761902</v>
      </c>
      <c r="C222" t="s">
        <v>238</v>
      </c>
      <c r="D222" s="103">
        <f>B221/0.24</f>
        <v>0.18253968253968253</v>
      </c>
      <c r="E222" t="s">
        <v>238</v>
      </c>
      <c r="F222">
        <v>6</v>
      </c>
      <c r="K222" s="108" t="s">
        <v>290</v>
      </c>
      <c r="L222" s="108">
        <v>1200</v>
      </c>
      <c r="M222" s="108" t="s">
        <v>76</v>
      </c>
      <c r="N222" s="108"/>
      <c r="O222" s="108"/>
      <c r="S222" s="117"/>
    </row>
    <row r="223" spans="1:19" ht="16.5">
      <c r="A223" s="46" t="s">
        <v>288</v>
      </c>
      <c r="B223" s="46">
        <v>240</v>
      </c>
      <c r="C223" s="95" t="s">
        <v>76</v>
      </c>
      <c r="D223" s="46">
        <v>200</v>
      </c>
      <c r="E223" s="95" t="s">
        <v>76</v>
      </c>
      <c r="K223" s="109" t="s">
        <v>286</v>
      </c>
      <c r="L223" s="120">
        <f>(L197*P224)/L194/L198+L84</f>
        <v>0.06444444444444444</v>
      </c>
      <c r="M223" s="109" t="s">
        <v>236</v>
      </c>
      <c r="N223" t="s">
        <v>358</v>
      </c>
      <c r="P223" s="110"/>
      <c r="Q223" s="110"/>
      <c r="R223" s="110"/>
      <c r="S223" s="110"/>
    </row>
    <row r="224" spans="1:16" ht="16.5">
      <c r="A224" s="73" t="s">
        <v>286</v>
      </c>
      <c r="B224" s="119">
        <f>(B197*F225)/B194/B198</f>
        <v>0.05111111111111111</v>
      </c>
      <c r="C224" s="73" t="s">
        <v>236</v>
      </c>
      <c r="D224" t="s">
        <v>359</v>
      </c>
      <c r="F224" s="72"/>
      <c r="G224" s="72"/>
      <c r="H224" s="72"/>
      <c r="K224" t="s">
        <v>237</v>
      </c>
      <c r="L224" s="103">
        <f>L223/0.22</f>
        <v>0.29292929292929293</v>
      </c>
      <c r="M224" t="s">
        <v>238</v>
      </c>
      <c r="N224" s="103">
        <f>L223/0.3</f>
        <v>0.2148148148148148</v>
      </c>
      <c r="O224" t="s">
        <v>238</v>
      </c>
      <c r="P224">
        <v>6</v>
      </c>
    </row>
    <row r="225" spans="1:15" ht="16.5">
      <c r="A225" t="s">
        <v>237</v>
      </c>
      <c r="B225" s="103">
        <f>B224/0.24</f>
        <v>0.21296296296296297</v>
      </c>
      <c r="C225" t="s">
        <v>238</v>
      </c>
      <c r="D225" s="103">
        <f>B224/0.24</f>
        <v>0.21296296296296297</v>
      </c>
      <c r="E225" t="s">
        <v>238</v>
      </c>
      <c r="F225">
        <v>7</v>
      </c>
      <c r="K225" s="46" t="s">
        <v>288</v>
      </c>
      <c r="L225" s="46">
        <v>300</v>
      </c>
      <c r="M225" s="95" t="s">
        <v>76</v>
      </c>
      <c r="N225" s="46">
        <v>220</v>
      </c>
      <c r="O225" s="95" t="s">
        <v>76</v>
      </c>
    </row>
    <row r="226" spans="1:15" ht="16.5">
      <c r="A226" s="46" t="s">
        <v>288</v>
      </c>
      <c r="B226" s="46">
        <v>240</v>
      </c>
      <c r="C226" s="95" t="s">
        <v>76</v>
      </c>
      <c r="D226" s="46">
        <v>240</v>
      </c>
      <c r="E226" s="95" t="s">
        <v>76</v>
      </c>
      <c r="K226" s="108" t="s">
        <v>290</v>
      </c>
      <c r="L226" s="108">
        <v>750</v>
      </c>
      <c r="M226" s="22" t="s">
        <v>76</v>
      </c>
      <c r="N226" s="108"/>
      <c r="O226" s="22"/>
    </row>
    <row r="227" spans="1:11" ht="16.5">
      <c r="A227" s="117" t="s">
        <v>360</v>
      </c>
      <c r="B227" s="116"/>
      <c r="C227" s="117"/>
      <c r="D227" s="116"/>
      <c r="E227" s="117"/>
      <c r="F227" s="116"/>
      <c r="K227" s="118" t="s">
        <v>285</v>
      </c>
    </row>
    <row r="230" spans="1:9" ht="16.5">
      <c r="A230" s="125" t="s">
        <v>361</v>
      </c>
      <c r="B230" s="126"/>
      <c r="C230" s="127"/>
      <c r="D230" s="127"/>
      <c r="E230" s="127"/>
      <c r="F230" s="127"/>
      <c r="G230" s="127"/>
      <c r="H230" s="127"/>
      <c r="I230" s="128"/>
    </row>
    <row r="231" spans="1:9" ht="16.5">
      <c r="A231" s="129"/>
      <c r="B231" s="129"/>
      <c r="C231" s="54"/>
      <c r="D231" s="36" t="s">
        <v>362</v>
      </c>
      <c r="E231" s="57"/>
      <c r="F231" s="129"/>
      <c r="G231" s="54"/>
      <c r="H231" s="57"/>
      <c r="I231" s="129" t="s">
        <v>363</v>
      </c>
    </row>
    <row r="232" spans="1:9" ht="16.5">
      <c r="A232" s="130" t="s">
        <v>364</v>
      </c>
      <c r="B232" s="130" t="s">
        <v>365</v>
      </c>
      <c r="C232" s="70"/>
      <c r="D232" s="79" t="s">
        <v>366</v>
      </c>
      <c r="E232" s="131"/>
      <c r="F232" s="130" t="s">
        <v>367</v>
      </c>
      <c r="G232" s="70"/>
      <c r="H232" s="131" t="s">
        <v>101</v>
      </c>
      <c r="I232" s="130" t="s">
        <v>368</v>
      </c>
    </row>
    <row r="233" spans="1:9" ht="16.5">
      <c r="A233" s="71"/>
      <c r="B233" s="71"/>
      <c r="C233" s="58"/>
      <c r="D233" s="43" t="s">
        <v>76</v>
      </c>
      <c r="E233" s="59"/>
      <c r="F233" s="71" t="s">
        <v>363</v>
      </c>
      <c r="G233" s="58"/>
      <c r="H233" s="59" t="s">
        <v>120</v>
      </c>
      <c r="I233" s="71" t="s">
        <v>369</v>
      </c>
    </row>
    <row r="234" spans="1:9" ht="16.5">
      <c r="A234" t="s">
        <v>370</v>
      </c>
      <c r="B234" s="132"/>
      <c r="C234" s="54"/>
      <c r="D234" s="133"/>
      <c r="E234" s="57"/>
      <c r="F234" s="129"/>
      <c r="G234" s="54"/>
      <c r="H234" s="57"/>
      <c r="I234" s="129"/>
    </row>
    <row r="235" spans="1:9" ht="16.5">
      <c r="A235" s="108" t="s">
        <v>371</v>
      </c>
      <c r="B235" s="134" t="s">
        <v>372</v>
      </c>
      <c r="C235" s="135"/>
      <c r="D235" s="136"/>
      <c r="E235" s="137"/>
      <c r="F235" s="130">
        <v>307.25</v>
      </c>
      <c r="G235" s="135"/>
      <c r="H235" s="138">
        <v>1</v>
      </c>
      <c r="I235" s="130">
        <f>F235*H235</f>
        <v>307.25</v>
      </c>
    </row>
    <row r="236" spans="1:9" ht="16.5">
      <c r="A236" s="58"/>
      <c r="B236" s="139"/>
      <c r="C236" s="140"/>
      <c r="D236" s="141"/>
      <c r="E236" s="59"/>
      <c r="F236" s="71"/>
      <c r="G236" s="140"/>
      <c r="H236" s="142"/>
      <c r="I236" s="71"/>
    </row>
    <row r="237" spans="1:9" ht="16.5">
      <c r="A237" t="s">
        <v>373</v>
      </c>
      <c r="B237" s="143"/>
      <c r="C237" s="54"/>
      <c r="D237" s="144"/>
      <c r="E237" s="145"/>
      <c r="F237" s="146"/>
      <c r="G237" s="54"/>
      <c r="H237" s="147"/>
      <c r="I237" s="146"/>
    </row>
    <row r="238" spans="1:9" ht="16.5">
      <c r="A238" s="108" t="s">
        <v>374</v>
      </c>
      <c r="B238" s="134">
        <v>315</v>
      </c>
      <c r="C238" s="135"/>
      <c r="D238" s="136"/>
      <c r="E238" s="137"/>
      <c r="F238" s="130">
        <v>394.8</v>
      </c>
      <c r="G238" s="135"/>
      <c r="H238" s="138">
        <v>1</v>
      </c>
      <c r="I238" s="130">
        <f>F238*H238</f>
        <v>394.8</v>
      </c>
    </row>
    <row r="239" spans="1:9" ht="16.5">
      <c r="A239" s="58"/>
      <c r="B239" s="139"/>
      <c r="C239" s="140"/>
      <c r="D239" s="141"/>
      <c r="E239" s="59"/>
      <c r="F239" s="71"/>
      <c r="G239" s="140"/>
      <c r="H239" s="142"/>
      <c r="I239" s="71"/>
    </row>
    <row r="240" spans="1:9" ht="16.5">
      <c r="A240" t="s">
        <v>375</v>
      </c>
      <c r="B240" s="143"/>
      <c r="C240" s="54"/>
      <c r="D240" s="144"/>
      <c r="E240" s="145"/>
      <c r="F240" s="146"/>
      <c r="G240" s="54"/>
      <c r="H240" s="147"/>
      <c r="I240" s="146"/>
    </row>
    <row r="241" spans="1:9" ht="16.5">
      <c r="A241" t="s">
        <v>376</v>
      </c>
      <c r="B241" s="134"/>
      <c r="C241" s="135"/>
      <c r="D241" s="136"/>
      <c r="E241" s="137"/>
      <c r="F241" s="130"/>
      <c r="G241" s="135"/>
      <c r="H241" s="138"/>
      <c r="I241" s="130"/>
    </row>
    <row r="242" spans="1:9" ht="16.5">
      <c r="A242" s="108" t="s">
        <v>377</v>
      </c>
      <c r="B242" s="134" t="s">
        <v>378</v>
      </c>
      <c r="C242" s="135"/>
      <c r="D242" s="136"/>
      <c r="E242" s="137"/>
      <c r="F242" s="95">
        <v>377.3</v>
      </c>
      <c r="G242" s="135"/>
      <c r="H242" s="138">
        <v>1</v>
      </c>
      <c r="I242" s="130">
        <f>F242*H242</f>
        <v>377.3</v>
      </c>
    </row>
    <row r="243" spans="1:9" ht="16.5">
      <c r="A243" s="148"/>
      <c r="B243" s="134"/>
      <c r="C243" s="135"/>
      <c r="D243" s="136"/>
      <c r="E243" s="137"/>
      <c r="F243" s="95"/>
      <c r="G243" s="135"/>
      <c r="H243" s="138"/>
      <c r="I243" s="130"/>
    </row>
    <row r="244" spans="1:9" ht="16.5">
      <c r="A244" t="s">
        <v>379</v>
      </c>
      <c r="B244" s="134"/>
      <c r="C244" s="135"/>
      <c r="D244" s="136"/>
      <c r="E244" s="137"/>
      <c r="F244" s="130"/>
      <c r="G244" s="135"/>
      <c r="H244" s="138"/>
      <c r="I244" s="130"/>
    </row>
    <row r="245" spans="1:9" ht="16.5">
      <c r="A245" t="s">
        <v>380</v>
      </c>
      <c r="B245" s="134"/>
      <c r="C245" s="135"/>
      <c r="D245" s="136"/>
      <c r="E245" s="137"/>
      <c r="F245" s="130"/>
      <c r="G245" s="135"/>
      <c r="H245" s="138"/>
      <c r="I245" s="130"/>
    </row>
    <row r="246" spans="1:9" ht="16.5">
      <c r="A246" t="s">
        <v>381</v>
      </c>
      <c r="B246" s="149" t="s">
        <v>382</v>
      </c>
      <c r="C246" s="135"/>
      <c r="D246" s="136"/>
      <c r="E246" s="137"/>
      <c r="F246" s="130">
        <v>256.1</v>
      </c>
      <c r="G246" s="135"/>
      <c r="H246" s="138">
        <v>1</v>
      </c>
      <c r="I246" s="130">
        <f>F246*H246</f>
        <v>256.1</v>
      </c>
    </row>
    <row r="247" spans="1:9" ht="16.5">
      <c r="A247" s="108" t="s">
        <v>383</v>
      </c>
      <c r="B247" s="134"/>
      <c r="C247" s="135"/>
      <c r="D247" s="136"/>
      <c r="E247" s="137"/>
      <c r="F247" s="130"/>
      <c r="G247" s="135"/>
      <c r="H247" s="138"/>
      <c r="I247" s="130"/>
    </row>
    <row r="248" spans="1:9" ht="16.5">
      <c r="A248" s="148"/>
      <c r="B248" s="134"/>
      <c r="C248" s="135"/>
      <c r="D248" s="136"/>
      <c r="E248" s="137"/>
      <c r="F248" s="130"/>
      <c r="G248" s="135"/>
      <c r="H248" s="138"/>
      <c r="I248" s="130"/>
    </row>
    <row r="249" spans="1:9" ht="16.5">
      <c r="A249" s="54" t="s">
        <v>384</v>
      </c>
      <c r="B249" s="143"/>
      <c r="C249" s="54"/>
      <c r="D249" s="144"/>
      <c r="E249" s="145"/>
      <c r="F249" s="146"/>
      <c r="G249" s="54"/>
      <c r="H249" s="147"/>
      <c r="I249" s="146"/>
    </row>
    <row r="250" spans="1:9" ht="16.5">
      <c r="A250" s="150" t="s">
        <v>385</v>
      </c>
      <c r="B250" s="134">
        <v>400</v>
      </c>
      <c r="C250" s="135"/>
      <c r="D250" s="136">
        <v>6000</v>
      </c>
      <c r="E250" s="137"/>
      <c r="F250" s="151">
        <v>679.9</v>
      </c>
      <c r="G250" s="135"/>
      <c r="H250" s="138">
        <v>9</v>
      </c>
      <c r="I250" s="130">
        <f>F250*H250</f>
        <v>6119.099999999999</v>
      </c>
    </row>
    <row r="251" spans="1:9" ht="16.5">
      <c r="A251" s="58"/>
      <c r="B251" s="139"/>
      <c r="C251" s="140"/>
      <c r="D251" s="141"/>
      <c r="E251" s="59"/>
      <c r="F251" s="71"/>
      <c r="G251" s="140"/>
      <c r="H251" s="142"/>
      <c r="I251" s="71"/>
    </row>
    <row r="252" spans="1:9" ht="16.5">
      <c r="A252" t="s">
        <v>386</v>
      </c>
      <c r="B252" s="143"/>
      <c r="C252" s="54"/>
      <c r="D252" s="144"/>
      <c r="E252" s="145"/>
      <c r="F252" s="146"/>
      <c r="G252" s="54"/>
      <c r="H252" s="147"/>
      <c r="I252" s="146"/>
    </row>
    <row r="253" spans="1:9" ht="16.5">
      <c r="A253" s="108" t="s">
        <v>387</v>
      </c>
      <c r="B253" s="134">
        <v>400</v>
      </c>
      <c r="C253" s="135"/>
      <c r="D253" s="152">
        <v>45</v>
      </c>
      <c r="E253" s="137"/>
      <c r="F253" s="151">
        <v>559.6</v>
      </c>
      <c r="G253" s="135"/>
      <c r="H253" s="138">
        <v>4</v>
      </c>
      <c r="I253" s="130">
        <f>F253*H253</f>
        <v>2238.4</v>
      </c>
    </row>
    <row r="254" spans="1:9" ht="16.5">
      <c r="A254" s="108" t="s">
        <v>388</v>
      </c>
      <c r="B254" s="134">
        <v>400</v>
      </c>
      <c r="C254" s="135"/>
      <c r="D254" s="152">
        <v>88</v>
      </c>
      <c r="E254" s="137"/>
      <c r="F254" s="151">
        <v>788.4</v>
      </c>
      <c r="G254" s="135"/>
      <c r="H254" s="138">
        <v>1</v>
      </c>
      <c r="I254" s="130">
        <f>F254*H254</f>
        <v>788.4</v>
      </c>
    </row>
    <row r="255" spans="2:9" ht="16.5">
      <c r="B255" s="134"/>
      <c r="C255" s="135"/>
      <c r="D255" s="152"/>
      <c r="E255" s="137"/>
      <c r="F255" s="130"/>
      <c r="G255" s="135"/>
      <c r="H255" s="138"/>
      <c r="I255" s="130"/>
    </row>
    <row r="256" spans="1:9" ht="16.5">
      <c r="A256" t="s">
        <v>389</v>
      </c>
      <c r="B256" s="134"/>
      <c r="C256" s="135"/>
      <c r="D256" s="152"/>
      <c r="E256" s="137"/>
      <c r="F256" s="130"/>
      <c r="G256" s="135"/>
      <c r="H256" s="138"/>
      <c r="I256" s="130"/>
    </row>
    <row r="257" spans="1:9" ht="16.5">
      <c r="A257" s="108" t="s">
        <v>390</v>
      </c>
      <c r="B257" s="95" t="s">
        <v>391</v>
      </c>
      <c r="C257" s="135"/>
      <c r="D257" s="152"/>
      <c r="E257" s="137"/>
      <c r="F257" s="153">
        <v>477.8</v>
      </c>
      <c r="G257" s="135"/>
      <c r="H257" s="138">
        <v>1</v>
      </c>
      <c r="I257" s="130">
        <f>F257*H257</f>
        <v>477.8</v>
      </c>
    </row>
    <row r="258" spans="1:9" ht="16.5">
      <c r="A258" s="71"/>
      <c r="B258" s="139"/>
      <c r="C258" s="140"/>
      <c r="D258" s="141"/>
      <c r="E258" s="59"/>
      <c r="F258" s="71"/>
      <c r="G258" s="140"/>
      <c r="H258" s="142"/>
      <c r="I258" s="71"/>
    </row>
    <row r="259" spans="1:9" ht="16.5">
      <c r="A259" t="s">
        <v>392</v>
      </c>
      <c r="B259" s="143"/>
      <c r="C259" s="54"/>
      <c r="D259" s="144"/>
      <c r="E259" s="145"/>
      <c r="F259" s="146"/>
      <c r="G259" s="54"/>
      <c r="H259" s="147"/>
      <c r="I259" s="146"/>
    </row>
    <row r="260" spans="1:9" ht="16.5">
      <c r="A260" s="108" t="s">
        <v>393</v>
      </c>
      <c r="B260" s="134">
        <v>400</v>
      </c>
      <c r="C260" s="135"/>
      <c r="D260" s="136"/>
      <c r="E260" s="137"/>
      <c r="F260" s="153">
        <v>1593</v>
      </c>
      <c r="G260" s="135"/>
      <c r="H260" s="138">
        <v>1</v>
      </c>
      <c r="I260" s="130">
        <f>F260*H260</f>
        <v>1593</v>
      </c>
    </row>
    <row r="261" spans="2:9" ht="16.5">
      <c r="B261" s="134"/>
      <c r="C261" s="135"/>
      <c r="D261" s="136"/>
      <c r="E261" s="137"/>
      <c r="F261" s="153"/>
      <c r="G261" s="135"/>
      <c r="H261" s="138"/>
      <c r="I261" s="130"/>
    </row>
    <row r="262" spans="1:9" ht="16.5">
      <c r="A262" t="s">
        <v>394</v>
      </c>
      <c r="B262" s="134"/>
      <c r="C262" s="135"/>
      <c r="D262" s="136"/>
      <c r="E262" s="137"/>
      <c r="F262" s="153"/>
      <c r="G262" s="135"/>
      <c r="H262" s="138"/>
      <c r="I262" s="130"/>
    </row>
    <row r="263" spans="1:9" ht="16.5">
      <c r="A263" s="108" t="s">
        <v>395</v>
      </c>
      <c r="B263" s="154" t="s">
        <v>396</v>
      </c>
      <c r="C263" s="135"/>
      <c r="D263" s="136"/>
      <c r="E263" s="137"/>
      <c r="F263" s="153">
        <v>18.2</v>
      </c>
      <c r="G263" s="135"/>
      <c r="H263" s="138">
        <v>1</v>
      </c>
      <c r="I263" s="130">
        <f>F263*H263</f>
        <v>18.2</v>
      </c>
    </row>
    <row r="264" spans="1:9" ht="16.5">
      <c r="A264" s="108" t="s">
        <v>397</v>
      </c>
      <c r="B264" s="154" t="s">
        <v>398</v>
      </c>
      <c r="C264" s="135"/>
      <c r="D264" s="136"/>
      <c r="E264" s="137"/>
      <c r="F264" s="153">
        <v>41</v>
      </c>
      <c r="G264" s="135"/>
      <c r="H264" s="138">
        <v>1</v>
      </c>
      <c r="I264" s="130">
        <f>F264*H264</f>
        <v>41</v>
      </c>
    </row>
    <row r="265" spans="1:9" ht="16.5">
      <c r="A265" s="58"/>
      <c r="B265" s="155"/>
      <c r="C265" s="58"/>
      <c r="D265" s="156"/>
      <c r="E265" s="59"/>
      <c r="F265" s="71"/>
      <c r="G265" s="58"/>
      <c r="H265" s="157"/>
      <c r="I265" s="71"/>
    </row>
    <row r="266" spans="1:9" ht="16.5">
      <c r="A266" s="129" t="s">
        <v>399</v>
      </c>
      <c r="B266" s="158"/>
      <c r="C266" s="70"/>
      <c r="D266" s="65"/>
      <c r="E266" s="131"/>
      <c r="F266" s="130"/>
      <c r="G266" s="70"/>
      <c r="H266" s="159"/>
      <c r="I266" s="130"/>
    </row>
    <row r="267" spans="1:9" ht="16.5">
      <c r="A267" s="160" t="s">
        <v>400</v>
      </c>
      <c r="B267" s="158"/>
      <c r="C267" s="70"/>
      <c r="D267" s="65" t="s">
        <v>401</v>
      </c>
      <c r="E267" s="131"/>
      <c r="F267" s="130">
        <v>6.6</v>
      </c>
      <c r="G267" s="70"/>
      <c r="H267" s="159">
        <v>1</v>
      </c>
      <c r="I267" s="130">
        <f>F267*H267</f>
        <v>6.6</v>
      </c>
    </row>
    <row r="268" spans="1:9" ht="16.5">
      <c r="A268" s="71"/>
      <c r="B268" s="155"/>
      <c r="C268" s="58"/>
      <c r="D268" s="43"/>
      <c r="E268" s="59"/>
      <c r="F268" s="71"/>
      <c r="G268" s="58"/>
      <c r="H268" s="157"/>
      <c r="I268" s="71"/>
    </row>
    <row r="269" spans="6:9" ht="16.5">
      <c r="F269" t="s">
        <v>402</v>
      </c>
      <c r="I269" s="42">
        <f>SUM(I235:I268)</f>
        <v>12617.949999999999</v>
      </c>
    </row>
    <row r="271" spans="8:9" ht="16.5">
      <c r="H271" t="s">
        <v>403</v>
      </c>
      <c r="I271" s="42">
        <f>I269*10</f>
        <v>126179.49999999999</v>
      </c>
    </row>
  </sheetData>
  <mergeCells count="1">
    <mergeCell ref="A11:J11"/>
  </mergeCells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SheetLayoutView="100" workbookViewId="0" topLeftCell="A1">
      <selection activeCell="T7" sqref="A1:IV65536"/>
    </sheetView>
  </sheetViews>
  <sheetFormatPr defaultColWidth="9.77734375" defaultRowHeight="16.5"/>
  <cols>
    <col min="1" max="1" width="15.21484375" style="0" customWidth="1"/>
    <col min="3" max="3" width="1.77734375" style="0" customWidth="1"/>
    <col min="5" max="5" width="1.77734375" style="0" customWidth="1"/>
    <col min="7" max="7" width="1.66796875" style="0" customWidth="1"/>
    <col min="9" max="9" width="1.88671875" style="0" customWidth="1"/>
    <col min="11" max="11" width="3.3359375" style="0" customWidth="1"/>
    <col min="13" max="13" width="3.5546875" style="0" customWidth="1"/>
    <col min="14" max="14" width="5.6640625" style="0" customWidth="1"/>
    <col min="15" max="15" width="6.88671875" style="0" customWidth="1"/>
    <col min="16" max="16" width="7.99609375" style="0" customWidth="1"/>
  </cols>
  <sheetData>
    <row r="1" ht="16.5">
      <c r="A1" s="46" t="s">
        <v>404</v>
      </c>
    </row>
    <row r="2" ht="16.5">
      <c r="A2" s="46"/>
    </row>
    <row r="3" spans="1:13" ht="16.5">
      <c r="A3" s="73" t="s">
        <v>405</v>
      </c>
      <c r="B3" s="72"/>
      <c r="C3" s="72"/>
      <c r="D3" s="72"/>
      <c r="E3" s="72"/>
      <c r="F3" s="72"/>
      <c r="G3" s="72"/>
      <c r="H3" s="72"/>
      <c r="I3" s="72"/>
      <c r="J3" s="73"/>
      <c r="K3" s="73"/>
      <c r="L3" s="73"/>
      <c r="M3" s="72"/>
    </row>
    <row r="5" spans="1:21" ht="16.5">
      <c r="A5" s="107" t="s">
        <v>406</v>
      </c>
      <c r="B5" s="107"/>
      <c r="C5" s="107"/>
      <c r="D5" s="107"/>
      <c r="E5" s="107"/>
      <c r="F5" s="107">
        <f>'Огражд.конструкции'!J10+'Огражд.конструкции'!J12</f>
        <v>302.73760000000004</v>
      </c>
      <c r="G5" s="107" t="s">
        <v>136</v>
      </c>
      <c r="H5" s="107"/>
      <c r="I5" s="107"/>
      <c r="J5" s="108">
        <f>F5*0.2</f>
        <v>60.54752000000001</v>
      </c>
      <c r="K5" s="108" t="s">
        <v>24</v>
      </c>
      <c r="L5" s="107"/>
      <c r="M5" s="107"/>
      <c r="O5" s="107" t="s">
        <v>406</v>
      </c>
      <c r="P5" s="107"/>
      <c r="Q5" s="107"/>
      <c r="R5" s="107">
        <f>F5</f>
        <v>302.73760000000004</v>
      </c>
      <c r="S5" s="107" t="s">
        <v>136</v>
      </c>
      <c r="T5" s="108">
        <f>R5*0.3</f>
        <v>90.82128000000003</v>
      </c>
      <c r="U5" s="108" t="s">
        <v>24</v>
      </c>
    </row>
    <row r="6" spans="1:21" ht="16.5">
      <c r="A6" s="107" t="s">
        <v>407</v>
      </c>
      <c r="B6" s="107"/>
      <c r="C6" s="107"/>
      <c r="D6" s="107"/>
      <c r="E6" s="107"/>
      <c r="F6" s="107">
        <f>'Огражд.конструкции'!J14</f>
        <v>183.02</v>
      </c>
      <c r="G6" s="107" t="s">
        <v>136</v>
      </c>
      <c r="H6" s="107"/>
      <c r="I6" s="107"/>
      <c r="J6" s="108">
        <f>F6*0.1</f>
        <v>18.302000000000003</v>
      </c>
      <c r="K6" s="108" t="s">
        <v>24</v>
      </c>
      <c r="L6" s="107"/>
      <c r="M6" s="107"/>
      <c r="O6" s="107" t="s">
        <v>407</v>
      </c>
      <c r="P6" s="107"/>
      <c r="Q6" s="107"/>
      <c r="R6" s="107">
        <f>F6</f>
        <v>183.02</v>
      </c>
      <c r="S6" s="107" t="s">
        <v>136</v>
      </c>
      <c r="T6" s="108">
        <f>R6*0.2</f>
        <v>36.604000000000006</v>
      </c>
      <c r="U6" s="108" t="s">
        <v>24</v>
      </c>
    </row>
    <row r="7" spans="9:22" ht="16.5">
      <c r="I7" s="46"/>
      <c r="J7" s="46"/>
      <c r="L7" s="46">
        <f>J5+J6</f>
        <v>78.84952000000001</v>
      </c>
      <c r="M7" s="46" t="s">
        <v>24</v>
      </c>
      <c r="U7" s="46">
        <f>T5+T6</f>
        <v>127.42528000000004</v>
      </c>
      <c r="V7" s="46" t="s">
        <v>24</v>
      </c>
    </row>
    <row r="8" spans="1:13" ht="16.5">
      <c r="A8" s="107" t="s">
        <v>408</v>
      </c>
      <c r="B8" s="108"/>
      <c r="C8" s="108"/>
      <c r="D8" s="108"/>
      <c r="E8" s="108"/>
      <c r="F8" s="107">
        <f>'Огражд.конструкции'!J16</f>
        <v>233.69000000000003</v>
      </c>
      <c r="G8" s="108" t="s">
        <v>136</v>
      </c>
      <c r="H8" s="108"/>
      <c r="I8" s="108"/>
      <c r="J8" s="108">
        <f>F8*0.2</f>
        <v>46.73800000000001</v>
      </c>
      <c r="K8" s="108" t="s">
        <v>24</v>
      </c>
      <c r="L8" s="107"/>
      <c r="M8" s="108"/>
    </row>
    <row r="9" spans="1:13" ht="16.5">
      <c r="A9" s="107" t="s">
        <v>409</v>
      </c>
      <c r="B9" s="108"/>
      <c r="C9" s="108"/>
      <c r="D9" s="108"/>
      <c r="E9" s="108"/>
      <c r="F9" s="107">
        <f>'Огражд.конструкции'!J16</f>
        <v>233.69000000000003</v>
      </c>
      <c r="G9" s="108" t="s">
        <v>136</v>
      </c>
      <c r="H9" s="108"/>
      <c r="I9" s="108"/>
      <c r="J9" s="108">
        <f>F9*0.05</f>
        <v>11.684500000000002</v>
      </c>
      <c r="K9" s="108" t="s">
        <v>24</v>
      </c>
      <c r="L9" s="107"/>
      <c r="M9" s="108"/>
    </row>
    <row r="10" spans="1:13" ht="16.5">
      <c r="A10" s="107" t="s">
        <v>410</v>
      </c>
      <c r="B10" s="108"/>
      <c r="C10" s="108"/>
      <c r="D10" s="108"/>
      <c r="E10" s="108"/>
      <c r="F10" s="107">
        <f>8.5*2+4.1*2+12.2</f>
        <v>37.4</v>
      </c>
      <c r="G10" s="108" t="s">
        <v>136</v>
      </c>
      <c r="H10" s="108"/>
      <c r="I10" s="108"/>
      <c r="J10" s="108">
        <f>F10*0.05</f>
        <v>1.87</v>
      </c>
      <c r="K10" s="108" t="s">
        <v>24</v>
      </c>
      <c r="L10" s="107"/>
      <c r="M10" s="108"/>
    </row>
    <row r="11" spans="1:13" ht="16.5">
      <c r="A11" s="107" t="s">
        <v>411</v>
      </c>
      <c r="B11" s="108"/>
      <c r="C11" s="108"/>
      <c r="D11" s="108"/>
      <c r="E11" s="108"/>
      <c r="F11" s="107">
        <f>Отделка!E39+Отделка!E41+Отделка!E43+Отделка!E45</f>
        <v>181.55</v>
      </c>
      <c r="G11" s="108" t="s">
        <v>136</v>
      </c>
      <c r="H11" s="108"/>
      <c r="I11" s="108"/>
      <c r="J11" s="108">
        <f>F11*0.02</f>
        <v>3.6310000000000002</v>
      </c>
      <c r="K11" s="108" t="s">
        <v>24</v>
      </c>
      <c r="L11" s="107"/>
      <c r="M11" s="108"/>
    </row>
    <row r="12" spans="12:13" ht="16.5">
      <c r="L12" s="46">
        <f>SUM(J8:J11)</f>
        <v>63.923500000000004</v>
      </c>
      <c r="M12" s="46" t="s">
        <v>24</v>
      </c>
    </row>
    <row r="13" spans="1:13" ht="16.5">
      <c r="A13" s="107" t="s">
        <v>412</v>
      </c>
      <c r="B13" s="108"/>
      <c r="C13" s="108"/>
      <c r="D13" s="108"/>
      <c r="E13" s="108"/>
      <c r="F13" s="107">
        <f>Отделка!E40+Отделка!E44</f>
        <v>39.35</v>
      </c>
      <c r="G13" s="108" t="s">
        <v>136</v>
      </c>
      <c r="H13" s="108"/>
      <c r="I13" s="108"/>
      <c r="J13" s="108"/>
      <c r="K13" s="108"/>
      <c r="L13" s="107"/>
      <c r="M13" s="107"/>
    </row>
    <row r="14" spans="12:13" ht="16.5">
      <c r="L14" s="46"/>
      <c r="M14" s="46"/>
    </row>
    <row r="15" spans="1:13" ht="16.5">
      <c r="A15" s="73" t="s">
        <v>170</v>
      </c>
      <c r="B15" s="72"/>
      <c r="C15" s="72"/>
      <c r="D15" s="72"/>
      <c r="E15" s="72"/>
      <c r="F15" s="72">
        <v>397.43</v>
      </c>
      <c r="G15" s="72" t="s">
        <v>136</v>
      </c>
      <c r="H15" s="72"/>
      <c r="I15" s="72"/>
      <c r="J15" s="72"/>
      <c r="K15" s="72"/>
      <c r="L15" s="73"/>
      <c r="M15" s="73"/>
    </row>
    <row r="16" ht="16.5">
      <c r="L16" s="46"/>
    </row>
    <row r="17" spans="1:13" ht="16.5">
      <c r="A17" s="73" t="s">
        <v>413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4" ht="16.5">
      <c r="A18" t="s">
        <v>414</v>
      </c>
      <c r="B18">
        <v>67</v>
      </c>
      <c r="D18">
        <v>64</v>
      </c>
      <c r="F18">
        <v>67</v>
      </c>
      <c r="H18">
        <v>53.4</v>
      </c>
      <c r="J18" s="46">
        <f>SUM(B18:I18)-'Окна-двери'!H8-'Окна-двери'!J17-'Окна-двери'!L17</f>
        <v>207.22160000000002</v>
      </c>
      <c r="K18" t="s">
        <v>15</v>
      </c>
      <c r="L18" s="46">
        <f>J18*0.25</f>
        <v>51.805400000000006</v>
      </c>
      <c r="M18" t="s">
        <v>24</v>
      </c>
      <c r="N18" s="46"/>
    </row>
    <row r="19" spans="1:13" ht="16.5">
      <c r="A19" t="s">
        <v>415</v>
      </c>
      <c r="B19" s="42">
        <f>10.7+9.4+1</f>
        <v>21.1</v>
      </c>
      <c r="D19">
        <v>53.9</v>
      </c>
      <c r="F19" s="42">
        <f>10.7+4.2</f>
        <v>14.899999999999999</v>
      </c>
      <c r="H19">
        <v>31.67</v>
      </c>
      <c r="J19" s="46">
        <f>SUM(B19:H19)-'Окна-двери'!H43</f>
        <v>110.8125</v>
      </c>
      <c r="K19" t="s">
        <v>15</v>
      </c>
      <c r="L19" s="46">
        <f>J19*0.25</f>
        <v>27.703125</v>
      </c>
      <c r="M19" t="s">
        <v>24</v>
      </c>
    </row>
    <row r="20" spans="1:14" ht="16.5">
      <c r="A20" t="s">
        <v>416</v>
      </c>
      <c r="B20">
        <v>64.9</v>
      </c>
      <c r="D20">
        <v>35.1</v>
      </c>
      <c r="F20" s="42">
        <f>64.9-6</f>
        <v>58.900000000000006</v>
      </c>
      <c r="J20" s="46">
        <f>SUM(B20:I20)-'Окна-двери'!H23-'Окна-двери'!H34+1.68</f>
        <v>141.315</v>
      </c>
      <c r="K20" t="s">
        <v>15</v>
      </c>
      <c r="L20" s="46">
        <f>J20*0.25</f>
        <v>35.32875</v>
      </c>
      <c r="M20" t="s">
        <v>24</v>
      </c>
      <c r="N20" s="46"/>
    </row>
    <row r="21" spans="1:14" ht="16.5">
      <c r="A21" t="s">
        <v>417</v>
      </c>
      <c r="D21" s="42">
        <f>2+24.8+14.13+10.9+8.62</f>
        <v>60.449999999999996</v>
      </c>
      <c r="F21" s="42">
        <f>7.55+14.9+7+30.45</f>
        <v>59.9</v>
      </c>
      <c r="J21" s="46">
        <f>D21+F21-'Окна-двери'!H28-'Окна-двери'!H38</f>
        <v>99.91</v>
      </c>
      <c r="K21" t="s">
        <v>15</v>
      </c>
      <c r="L21" s="46">
        <f>J21*0.12</f>
        <v>11.989199999999999</v>
      </c>
      <c r="M21" t="s">
        <v>24</v>
      </c>
      <c r="N21" s="46"/>
    </row>
    <row r="22" spans="10:14" ht="16.5">
      <c r="J22" s="46"/>
      <c r="L22" s="46">
        <f>SUM(L18:L21)</f>
        <v>126.826475</v>
      </c>
      <c r="M22" t="s">
        <v>24</v>
      </c>
      <c r="N22" s="46"/>
    </row>
    <row r="23" spans="10:14" ht="16.5">
      <c r="J23" s="46"/>
      <c r="L23" s="46"/>
      <c r="N23" s="46"/>
    </row>
    <row r="24" spans="1:13" ht="16.5">
      <c r="A24" s="72" t="s">
        <v>418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</row>
    <row r="25" spans="1:13" ht="16.5">
      <c r="A25" t="s">
        <v>419</v>
      </c>
      <c r="H25" s="42">
        <f>39.3+16</f>
        <v>55.3</v>
      </c>
      <c r="J25" s="46">
        <f>H25-1.68</f>
        <v>53.62</v>
      </c>
      <c r="K25" t="s">
        <v>15</v>
      </c>
      <c r="L25" s="46">
        <f>J25*0.25</f>
        <v>13.405</v>
      </c>
      <c r="M25" t="s">
        <v>24</v>
      </c>
    </row>
    <row r="27" spans="1:13" ht="16.5">
      <c r="A27" s="72" t="s">
        <v>420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1" ht="16.5">
      <c r="A28" s="161" t="s">
        <v>421</v>
      </c>
      <c r="J28">
        <v>6</v>
      </c>
      <c r="K28" t="s">
        <v>422</v>
      </c>
    </row>
    <row r="29" spans="1:11" ht="16.5">
      <c r="A29" s="161" t="s">
        <v>423</v>
      </c>
      <c r="J29">
        <v>8</v>
      </c>
      <c r="K29" t="s">
        <v>422</v>
      </c>
    </row>
    <row r="30" spans="1:11" ht="16.5">
      <c r="A30" s="161" t="s">
        <v>424</v>
      </c>
      <c r="J30">
        <v>30</v>
      </c>
      <c r="K30" t="s">
        <v>422</v>
      </c>
    </row>
    <row r="31" spans="1:11" ht="16.5">
      <c r="A31" t="s">
        <v>425</v>
      </c>
      <c r="J31">
        <v>5.8</v>
      </c>
      <c r="K31" t="s">
        <v>426</v>
      </c>
    </row>
    <row r="33" spans="1:11" ht="16.5">
      <c r="A33" t="s">
        <v>427</v>
      </c>
      <c r="B33" s="42">
        <f>86.11-'Окна-двери'!F45-'Окна-двери'!L17-8+1+1.8</f>
        <v>67.109</v>
      </c>
      <c r="D33" s="42">
        <f>58.8-'Окна-двери'!H8+7.5</f>
        <v>36.1076</v>
      </c>
      <c r="F33" s="42">
        <f>85-'Окна-двери'!J17-3.7</f>
        <v>75.49</v>
      </c>
      <c r="H33" s="42">
        <f>26.2+6+10.5</f>
        <v>42.7</v>
      </c>
      <c r="J33" s="42">
        <f>SUM(B33:H33)</f>
        <v>221.40659999999997</v>
      </c>
      <c r="K33" t="s">
        <v>15</v>
      </c>
    </row>
    <row r="34" spans="1:11" ht="16.5">
      <c r="A34" t="s">
        <v>149</v>
      </c>
      <c r="B34">
        <v>33.6</v>
      </c>
      <c r="D34">
        <v>0</v>
      </c>
      <c r="F34" s="42">
        <f>27.2+4.5</f>
        <v>31.7</v>
      </c>
      <c r="H34">
        <v>0</v>
      </c>
      <c r="J34" s="42">
        <f>SUM(B34:H34)</f>
        <v>65.3</v>
      </c>
      <c r="K34" t="s">
        <v>15</v>
      </c>
    </row>
    <row r="35" spans="1:11" ht="16.5">
      <c r="A35" t="s">
        <v>428</v>
      </c>
      <c r="B35" s="42">
        <f>4.8+5.6+2.1+1.6+8</f>
        <v>22.099999999999998</v>
      </c>
      <c r="J35" s="42">
        <f>B35</f>
        <v>22.099999999999998</v>
      </c>
      <c r="K35" t="s">
        <v>15</v>
      </c>
    </row>
    <row r="36" spans="1:11" ht="16.5">
      <c r="A36" t="s">
        <v>429</v>
      </c>
      <c r="J36" s="42">
        <f>J33-J34</f>
        <v>156.10659999999996</v>
      </c>
      <c r="K36" t="s">
        <v>15</v>
      </c>
    </row>
    <row r="38" spans="1:11" ht="16.5">
      <c r="A38" t="s">
        <v>430</v>
      </c>
      <c r="J38">
        <v>115</v>
      </c>
      <c r="K38" t="s">
        <v>15</v>
      </c>
    </row>
  </sheetData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workbookViewId="0" topLeftCell="A25">
      <selection activeCell="B15" sqref="A1:IV65536"/>
    </sheetView>
  </sheetViews>
  <sheetFormatPr defaultColWidth="9.77734375" defaultRowHeight="16.5"/>
  <cols>
    <col min="2" max="2" width="15.10546875" style="0" customWidth="1"/>
    <col min="4" max="4" width="23.3359375" style="0" customWidth="1"/>
    <col min="6" max="6" width="15.3359375" style="0" customWidth="1"/>
    <col min="8" max="8" width="37.4453125" style="0" customWidth="1"/>
  </cols>
  <sheetData>
    <row r="1" spans="1:12" ht="16.5">
      <c r="A1" s="162"/>
      <c r="B1" s="162"/>
      <c r="C1" s="162"/>
      <c r="D1" s="162"/>
      <c r="E1" s="162"/>
      <c r="F1" s="162"/>
      <c r="G1" s="163"/>
      <c r="H1" s="163"/>
      <c r="K1" s="163"/>
      <c r="L1" s="164"/>
    </row>
    <row r="2" spans="1:12" ht="16.5">
      <c r="A2" s="164"/>
      <c r="B2" s="165"/>
      <c r="C2" s="166" t="s">
        <v>431</v>
      </c>
      <c r="D2" s="166"/>
      <c r="E2" s="166"/>
      <c r="F2" s="166"/>
      <c r="G2" s="166"/>
      <c r="H2" s="166"/>
      <c r="I2" s="164" t="s">
        <v>432</v>
      </c>
      <c r="J2" s="164" t="s">
        <v>433</v>
      </c>
      <c r="K2" s="163"/>
      <c r="L2" s="164"/>
    </row>
    <row r="3" spans="1:12" ht="16.5">
      <c r="A3" s="164"/>
      <c r="B3" s="165"/>
      <c r="C3" s="167"/>
      <c r="D3" s="163"/>
      <c r="E3" s="163"/>
      <c r="F3" s="163"/>
      <c r="G3" s="163"/>
      <c r="H3" s="163"/>
      <c r="I3" s="164"/>
      <c r="J3" s="164"/>
      <c r="K3" s="163"/>
      <c r="L3" s="164"/>
    </row>
    <row r="4" spans="1:12" ht="16.5">
      <c r="A4" s="168"/>
      <c r="B4" s="169" t="s">
        <v>1</v>
      </c>
      <c r="C4" s="170" t="s">
        <v>434</v>
      </c>
      <c r="D4" s="169" t="s">
        <v>435</v>
      </c>
      <c r="E4" s="170" t="s">
        <v>14</v>
      </c>
      <c r="F4" s="169" t="s">
        <v>435</v>
      </c>
      <c r="G4" s="170" t="s">
        <v>13</v>
      </c>
      <c r="H4" s="169" t="s">
        <v>435</v>
      </c>
      <c r="I4" s="169"/>
      <c r="J4" s="169"/>
      <c r="K4" s="170" t="s">
        <v>436</v>
      </c>
      <c r="L4" s="171" t="s">
        <v>437</v>
      </c>
    </row>
    <row r="5" spans="1:12" ht="16.5">
      <c r="A5" s="172"/>
      <c r="B5" s="173"/>
      <c r="C5" s="174" t="s">
        <v>15</v>
      </c>
      <c r="D5" s="175"/>
      <c r="E5" s="174" t="s">
        <v>15</v>
      </c>
      <c r="F5" s="175"/>
      <c r="G5" s="174" t="s">
        <v>15</v>
      </c>
      <c r="H5" s="175"/>
      <c r="I5" s="175"/>
      <c r="J5" s="175"/>
      <c r="K5" s="174" t="s">
        <v>438</v>
      </c>
      <c r="L5" s="176"/>
    </row>
    <row r="6" spans="1:12" ht="16.5">
      <c r="A6" s="168"/>
      <c r="B6" s="169" t="s">
        <v>439</v>
      </c>
      <c r="C6" s="177"/>
      <c r="D6" s="178"/>
      <c r="E6" s="177"/>
      <c r="F6" s="179"/>
      <c r="G6" s="180"/>
      <c r="H6" s="178"/>
      <c r="I6" s="181"/>
      <c r="J6" s="181"/>
      <c r="K6" s="182"/>
      <c r="L6" s="183"/>
    </row>
    <row r="7" spans="1:12" ht="16.5">
      <c r="A7" s="184">
        <v>1</v>
      </c>
      <c r="B7" s="185" t="s">
        <v>251</v>
      </c>
      <c r="C7" s="186">
        <v>40.23</v>
      </c>
      <c r="D7" s="185" t="s">
        <v>440</v>
      </c>
      <c r="E7" s="186">
        <f>38.55+2.57+1</f>
        <v>42.12</v>
      </c>
      <c r="F7" s="185" t="s">
        <v>441</v>
      </c>
      <c r="G7" s="186">
        <f>(10.14+2.43+19.66+18.72+18.7)+J7-I7</f>
        <v>49.87000000000001</v>
      </c>
      <c r="H7" s="185" t="s">
        <v>442</v>
      </c>
      <c r="I7" s="187">
        <f>7*2+1.5*2+1.75*2+2.4</f>
        <v>22.9</v>
      </c>
      <c r="J7" s="187">
        <f>1.56*2</f>
        <v>3.12</v>
      </c>
      <c r="K7" s="186">
        <v>15.86</v>
      </c>
      <c r="L7" s="188" t="s">
        <v>443</v>
      </c>
    </row>
    <row r="8" spans="1:12" ht="16.5">
      <c r="A8" s="189">
        <v>2</v>
      </c>
      <c r="B8" s="190" t="s">
        <v>26</v>
      </c>
      <c r="C8" s="191">
        <v>10.52</v>
      </c>
      <c r="D8" s="190" t="str">
        <f>D7</f>
        <v>ГКЛ, покраска</v>
      </c>
      <c r="E8" s="191">
        <v>10.52</v>
      </c>
      <c r="F8" s="190" t="s">
        <v>444</v>
      </c>
      <c r="G8" s="191">
        <f>13.14*2.53-I8+J8</f>
        <v>30.644200000000005</v>
      </c>
      <c r="H8" s="190" t="str">
        <f>H7</f>
        <v>Глин.штукатурка, бумаж.обои, покраска</v>
      </c>
      <c r="I8" s="164">
        <f>1.95+1.55</f>
        <v>3.5</v>
      </c>
      <c r="J8" s="164">
        <v>0.9</v>
      </c>
      <c r="K8" s="191">
        <v>12.35</v>
      </c>
      <c r="L8" s="192" t="str">
        <f>L7</f>
        <v>деревянный</v>
      </c>
    </row>
    <row r="9" spans="1:12" ht="16.5">
      <c r="A9" s="184">
        <v>3</v>
      </c>
      <c r="B9" s="185" t="s">
        <v>445</v>
      </c>
      <c r="C9" s="186">
        <v>10.79</v>
      </c>
      <c r="D9" s="185" t="str">
        <f>D8</f>
        <v>ГКЛ, покраска</v>
      </c>
      <c r="E9" s="186">
        <v>11.75</v>
      </c>
      <c r="F9" s="185" t="s">
        <v>446</v>
      </c>
      <c r="G9" s="186">
        <f>13.28*2.53-I9+J9</f>
        <v>23.808400000000006</v>
      </c>
      <c r="H9" s="185" t="str">
        <f>H8</f>
        <v>Глин.штукатурка, бумаж.обои, покраска</v>
      </c>
      <c r="I9" s="187">
        <f>1.55*2.4+1.55*2+1.75+1.2*2.1</f>
        <v>11.09</v>
      </c>
      <c r="J9" s="187">
        <v>1.3</v>
      </c>
      <c r="K9" s="186">
        <v>8.55</v>
      </c>
      <c r="L9" s="188" t="str">
        <f>L8</f>
        <v>деревянный</v>
      </c>
    </row>
    <row r="10" spans="1:12" ht="16.5">
      <c r="A10" s="189">
        <v>4</v>
      </c>
      <c r="B10" s="190" t="s">
        <v>28</v>
      </c>
      <c r="C10" s="191">
        <v>6.53</v>
      </c>
      <c r="D10" s="190" t="str">
        <f>D9</f>
        <v>ГКЛ, покраска</v>
      </c>
      <c r="E10" s="191">
        <v>6.53</v>
      </c>
      <c r="F10" s="190" t="str">
        <f>F9</f>
        <v> Тип 2(плитка)</v>
      </c>
      <c r="G10" s="191">
        <f>11*2.53-I10</f>
        <v>24.73</v>
      </c>
      <c r="H10" s="190" t="str">
        <f>H9</f>
        <v>Глин.штукатурка, бумаж.обои, покраска</v>
      </c>
      <c r="I10" s="164">
        <f>1.55*2</f>
        <v>3.1</v>
      </c>
      <c r="J10" s="164"/>
      <c r="K10" s="191">
        <v>9.4</v>
      </c>
      <c r="L10" s="192" t="str">
        <f>L9</f>
        <v>деревянный</v>
      </c>
    </row>
    <row r="11" spans="1:12" ht="16.5">
      <c r="A11" s="193">
        <v>5</v>
      </c>
      <c r="B11" s="194" t="s">
        <v>29</v>
      </c>
      <c r="C11" s="195">
        <f>11.67+0.84</f>
        <v>12.51</v>
      </c>
      <c r="D11" s="194" t="str">
        <f>D10</f>
        <v>ГКЛ, покраска</v>
      </c>
      <c r="E11" s="195">
        <v>12.71</v>
      </c>
      <c r="F11" s="194" t="str">
        <f>F10</f>
        <v> Тип 2(плитка)</v>
      </c>
      <c r="G11" s="195">
        <f>13.74*2.53-I11+J11-G12</f>
        <v>14.272200000000009</v>
      </c>
      <c r="H11" s="194" t="str">
        <f>H10</f>
        <v>Глин.штукатурка, бумаж.обои, покраска</v>
      </c>
      <c r="I11" s="181">
        <f>7+1.55+1.95+2.39</f>
        <v>12.89</v>
      </c>
      <c r="J11" s="181">
        <f>0.92+1.56-0.84</f>
        <v>1.6400000000000001</v>
      </c>
      <c r="K11" s="195">
        <v>9.5</v>
      </c>
      <c r="L11" s="196" t="str">
        <f>L10</f>
        <v>деревянный</v>
      </c>
    </row>
    <row r="12" spans="1:12" ht="16.5">
      <c r="A12" s="197"/>
      <c r="B12" s="198"/>
      <c r="C12" s="199"/>
      <c r="D12" s="198"/>
      <c r="E12" s="199"/>
      <c r="F12" s="198"/>
      <c r="G12" s="199">
        <f>6.6*1.4</f>
        <v>9.239999999999998</v>
      </c>
      <c r="H12" s="198" t="s">
        <v>447</v>
      </c>
      <c r="I12" s="173"/>
      <c r="J12" s="173"/>
      <c r="K12" s="199" t="s">
        <v>448</v>
      </c>
      <c r="L12" s="200"/>
    </row>
    <row r="13" spans="1:12" ht="16.5">
      <c r="A13" s="184">
        <v>6</v>
      </c>
      <c r="B13" s="185" t="s">
        <v>449</v>
      </c>
      <c r="C13" s="186">
        <v>9.8</v>
      </c>
      <c r="D13" s="185" t="str">
        <f>D11</f>
        <v>ГКЛ, покраска</v>
      </c>
      <c r="E13" s="186">
        <v>10.74</v>
      </c>
      <c r="F13" s="185" t="str">
        <f>F8</f>
        <v> Тип 3(линолеум)</v>
      </c>
      <c r="G13" s="186">
        <f>12.76*3.03-I13+J13</f>
        <v>30.122799999999994</v>
      </c>
      <c r="H13" s="185" t="str">
        <f>H11</f>
        <v>Глин.штукатурка, бумаж.обои, покраска</v>
      </c>
      <c r="I13" s="187">
        <f>7+1.55*2</f>
        <v>10.1</v>
      </c>
      <c r="J13" s="187">
        <v>1.56</v>
      </c>
      <c r="K13" s="186">
        <v>8.8</v>
      </c>
      <c r="L13" s="188" t="str">
        <f>L8</f>
        <v>деревянный</v>
      </c>
    </row>
    <row r="14" spans="1:12" ht="16.5">
      <c r="A14" s="189">
        <v>7</v>
      </c>
      <c r="B14" s="190" t="s">
        <v>450</v>
      </c>
      <c r="C14" s="191">
        <f>(1.9+4.21)*3.8</f>
        <v>23.217999999999996</v>
      </c>
      <c r="D14" s="190" t="str">
        <f>D13</f>
        <v>ГКЛ, покраска</v>
      </c>
      <c r="E14" s="191">
        <f>10.18+0.45</f>
        <v>10.629999999999999</v>
      </c>
      <c r="F14" s="190" t="s">
        <v>451</v>
      </c>
      <c r="G14" s="191">
        <f>0.83+17*2+9.24+6.94+13.14+0.5-I14+J14-G15+6.3</f>
        <v>32.196000000000005</v>
      </c>
      <c r="H14" s="190" t="s">
        <v>452</v>
      </c>
      <c r="I14" s="164">
        <f>1.55*3+1.75+1.95+1.17</f>
        <v>9.520000000000001</v>
      </c>
      <c r="J14" s="164">
        <f>0.92+0.68</f>
        <v>1.6</v>
      </c>
      <c r="K14" s="191" t="s">
        <v>448</v>
      </c>
      <c r="L14" s="192"/>
    </row>
    <row r="15" spans="1:12" ht="16.5">
      <c r="A15" s="189"/>
      <c r="B15" s="190"/>
      <c r="C15" s="191"/>
      <c r="D15" s="190"/>
      <c r="E15" s="191"/>
      <c r="F15" s="190"/>
      <c r="G15" s="191">
        <f>17.13*1.8</f>
        <v>30.834</v>
      </c>
      <c r="H15" s="190" t="s">
        <v>453</v>
      </c>
      <c r="I15" s="164"/>
      <c r="J15" s="164"/>
      <c r="K15" s="191" t="s">
        <v>448</v>
      </c>
      <c r="L15" s="192"/>
    </row>
    <row r="16" spans="1:12" ht="16.5">
      <c r="A16" s="189"/>
      <c r="B16" s="190"/>
      <c r="C16" s="191"/>
      <c r="D16" s="190"/>
      <c r="E16" s="191"/>
      <c r="F16" s="190"/>
      <c r="G16" s="191">
        <f>12.5+13*1.52+1.5</f>
        <v>33.760000000000005</v>
      </c>
      <c r="H16" s="190" t="s">
        <v>454</v>
      </c>
      <c r="I16" s="164"/>
      <c r="J16" s="164"/>
      <c r="K16" s="191" t="s">
        <v>448</v>
      </c>
      <c r="L16" s="192"/>
    </row>
    <row r="17" spans="1:12" ht="16.5">
      <c r="A17" s="193">
        <v>8</v>
      </c>
      <c r="B17" s="194" t="s">
        <v>455</v>
      </c>
      <c r="C17" s="195">
        <v>3.63</v>
      </c>
      <c r="D17" s="194" t="s">
        <v>456</v>
      </c>
      <c r="E17" s="195">
        <v>3.63</v>
      </c>
      <c r="F17" s="194" t="str">
        <f>F14</f>
        <v> Тип 5(плитка)</v>
      </c>
      <c r="G17" s="195">
        <f>7.6*2.2-I17</f>
        <v>15.28</v>
      </c>
      <c r="H17" s="201" t="s">
        <v>457</v>
      </c>
      <c r="I17" s="181">
        <f>1.44</f>
        <v>1.44</v>
      </c>
      <c r="J17" s="181"/>
      <c r="K17" s="195">
        <v>7</v>
      </c>
      <c r="L17" s="196" t="str">
        <f>L13</f>
        <v>деревянный</v>
      </c>
    </row>
    <row r="18" spans="1:12" ht="16.5">
      <c r="A18" s="197"/>
      <c r="B18" s="198"/>
      <c r="C18" s="199"/>
      <c r="D18" s="198" t="s">
        <v>458</v>
      </c>
      <c r="E18" s="199"/>
      <c r="F18" s="198"/>
      <c r="G18" s="199"/>
      <c r="H18" s="198"/>
      <c r="I18" s="173"/>
      <c r="J18" s="173"/>
      <c r="K18" s="199" t="s">
        <v>448</v>
      </c>
      <c r="L18" s="200"/>
    </row>
    <row r="19" spans="1:12" ht="16.5">
      <c r="A19" s="189">
        <v>9</v>
      </c>
      <c r="B19" s="190" t="s">
        <v>459</v>
      </c>
      <c r="C19" s="191">
        <v>5</v>
      </c>
      <c r="D19" s="190" t="str">
        <f>D14</f>
        <v>ГКЛ, покраска</v>
      </c>
      <c r="E19" s="191">
        <v>4.16</v>
      </c>
      <c r="F19" s="190" t="str">
        <f>F17</f>
        <v> Тип 5(плитка)</v>
      </c>
      <c r="G19" s="191">
        <f>7.33*2+1.92*(2.8+3.9)-I19-G20</f>
        <v>9.913999999999998</v>
      </c>
      <c r="H19" s="190" t="s">
        <v>452</v>
      </c>
      <c r="I19" s="164">
        <v>1.55</v>
      </c>
      <c r="J19" s="164"/>
      <c r="K19" s="191" t="s">
        <v>448</v>
      </c>
      <c r="L19" s="192"/>
    </row>
    <row r="20" spans="1:12" ht="16.5">
      <c r="A20" s="189"/>
      <c r="B20" s="190"/>
      <c r="C20" s="191"/>
      <c r="D20" s="190"/>
      <c r="E20" s="191"/>
      <c r="F20" s="190"/>
      <c r="G20" s="191">
        <f>7.3*2.2</f>
        <v>16.060000000000002</v>
      </c>
      <c r="H20" s="190" t="s">
        <v>460</v>
      </c>
      <c r="I20" s="164"/>
      <c r="J20" s="164"/>
      <c r="K20" s="191" t="s">
        <v>448</v>
      </c>
      <c r="L20" s="192"/>
    </row>
    <row r="21" spans="1:12" ht="16.5">
      <c r="A21" s="184">
        <v>10</v>
      </c>
      <c r="B21" s="185" t="s">
        <v>461</v>
      </c>
      <c r="C21" s="186">
        <v>1.6</v>
      </c>
      <c r="D21" s="185" t="str">
        <f>D14</f>
        <v>ГКЛ, покраска</v>
      </c>
      <c r="E21" s="186">
        <v>1.6</v>
      </c>
      <c r="F21" s="185" t="str">
        <f>F19</f>
        <v> Тип 5(плитка)</v>
      </c>
      <c r="G21" s="186">
        <f>4.44*2.1</f>
        <v>9.324000000000002</v>
      </c>
      <c r="H21" s="185" t="s">
        <v>462</v>
      </c>
      <c r="I21" s="187">
        <v>1.5</v>
      </c>
      <c r="J21" s="187"/>
      <c r="K21" s="186" t="s">
        <v>448</v>
      </c>
      <c r="L21" s="188"/>
    </row>
    <row r="22" spans="1:12" ht="16.5">
      <c r="A22" s="197">
        <v>11</v>
      </c>
      <c r="B22" s="190" t="s">
        <v>38</v>
      </c>
      <c r="C22" s="191">
        <f>23.55</f>
        <v>23.55</v>
      </c>
      <c r="D22" s="190" t="s">
        <v>463</v>
      </c>
      <c r="E22" s="191">
        <f>23.55+1.4</f>
        <v>24.95</v>
      </c>
      <c r="F22" s="190" t="s">
        <v>464</v>
      </c>
      <c r="G22" s="191">
        <f>10.66+9.26+15.96*2-I22+J22</f>
        <v>49.31</v>
      </c>
      <c r="H22" s="190" t="s">
        <v>452</v>
      </c>
      <c r="I22" s="164">
        <f>2.1*1.2+0.7*1.3</f>
        <v>3.43</v>
      </c>
      <c r="J22" s="164">
        <v>0.9</v>
      </c>
      <c r="K22" s="191">
        <v>19.4</v>
      </c>
      <c r="L22" s="192" t="s">
        <v>465</v>
      </c>
    </row>
    <row r="23" spans="1:12" ht="16.5">
      <c r="A23" s="197">
        <v>12</v>
      </c>
      <c r="B23" s="190" t="s">
        <v>40</v>
      </c>
      <c r="C23" s="191">
        <v>28.66</v>
      </c>
      <c r="D23" s="190" t="s">
        <v>466</v>
      </c>
      <c r="E23" s="191">
        <v>25.31</v>
      </c>
      <c r="F23" s="190" t="s">
        <v>467</v>
      </c>
      <c r="G23" s="191">
        <f>10.81*2+44.75-I23+J23</f>
        <v>60.36000000000001</v>
      </c>
      <c r="H23" s="190" t="s">
        <v>452</v>
      </c>
      <c r="I23" s="164">
        <f>5.62+1.7</f>
        <v>7.32</v>
      </c>
      <c r="J23" s="164">
        <v>1.31</v>
      </c>
      <c r="K23" s="191">
        <v>18.5</v>
      </c>
      <c r="L23" s="192" t="s">
        <v>429</v>
      </c>
    </row>
    <row r="24" spans="1:12" ht="16.5">
      <c r="A24" s="197">
        <v>13</v>
      </c>
      <c r="B24" s="190" t="s">
        <v>41</v>
      </c>
      <c r="C24" s="191">
        <v>28.66</v>
      </c>
      <c r="D24" s="190" t="s">
        <v>466</v>
      </c>
      <c r="E24" s="191">
        <v>25.31</v>
      </c>
      <c r="F24" s="190" t="s">
        <v>467</v>
      </c>
      <c r="G24" s="191">
        <f>10.81*2+44.75-I24+J24</f>
        <v>64.08000000000001</v>
      </c>
      <c r="H24" s="190" t="str">
        <f>H23</f>
        <v>Штукатурка, покраска</v>
      </c>
      <c r="I24" s="164">
        <f>1.7*2+1.5</f>
        <v>4.9</v>
      </c>
      <c r="J24" s="164">
        <f>1.31+1.3</f>
        <v>2.6100000000000003</v>
      </c>
      <c r="K24" s="191">
        <v>20.7</v>
      </c>
      <c r="L24" s="192" t="s">
        <v>429</v>
      </c>
    </row>
    <row r="25" spans="1:12" ht="16.5">
      <c r="A25" s="202"/>
      <c r="B25" s="169" t="s">
        <v>468</v>
      </c>
      <c r="C25" s="180"/>
      <c r="D25" s="178"/>
      <c r="E25" s="180"/>
      <c r="F25" s="178"/>
      <c r="G25" s="180"/>
      <c r="H25" s="178"/>
      <c r="I25" s="181"/>
      <c r="J25" s="181"/>
      <c r="K25" s="182"/>
      <c r="L25" s="183"/>
    </row>
    <row r="26" spans="1:12" ht="16.5">
      <c r="A26" s="184">
        <v>1</v>
      </c>
      <c r="B26" s="185" t="s">
        <v>469</v>
      </c>
      <c r="C26" s="186">
        <f>4.83*3.8+2.53*1.2+1.9</f>
        <v>23.29</v>
      </c>
      <c r="D26" s="185" t="s">
        <v>440</v>
      </c>
      <c r="E26" s="186">
        <v>14.8</v>
      </c>
      <c r="F26" s="185" t="s">
        <v>470</v>
      </c>
      <c r="G26" s="186">
        <f>20.33+21.33+6.02+1.4-I26+5.5</f>
        <v>49.72999999999999</v>
      </c>
      <c r="H26" s="185" t="s">
        <v>471</v>
      </c>
      <c r="I26" s="187">
        <f>1.75+1.55*2</f>
        <v>4.85</v>
      </c>
      <c r="J26" s="187"/>
      <c r="K26" s="186">
        <v>16.8</v>
      </c>
      <c r="L26" s="188" t="s">
        <v>443</v>
      </c>
    </row>
    <row r="27" spans="1:12" ht="16.5">
      <c r="A27" s="189">
        <v>2</v>
      </c>
      <c r="B27" s="190" t="s">
        <v>53</v>
      </c>
      <c r="C27" s="191">
        <f>6.06*3.01+1.5</f>
        <v>19.740599999999997</v>
      </c>
      <c r="D27" s="190" t="s">
        <v>440</v>
      </c>
      <c r="E27" s="191">
        <v>12.7</v>
      </c>
      <c r="F27" s="190" t="str">
        <f>F26</f>
        <v>Тип 7(линолеум)</v>
      </c>
      <c r="G27" s="191">
        <f>11.73+11.73+1.55*1.15+2.88*3.01+0.95-I27+4.16</f>
        <v>37.2713</v>
      </c>
      <c r="H27" s="190" t="str">
        <f>H26</f>
        <v>Глин.штукатурка, бумажн.обои,покраска</v>
      </c>
      <c r="I27" s="164">
        <f>1.75</f>
        <v>1.75</v>
      </c>
      <c r="J27" s="164"/>
      <c r="K27" s="191">
        <v>13.7</v>
      </c>
      <c r="L27" s="192" t="s">
        <v>443</v>
      </c>
    </row>
    <row r="28" spans="1:12" ht="16.5">
      <c r="A28" s="184">
        <v>3</v>
      </c>
      <c r="B28" s="185" t="s">
        <v>54</v>
      </c>
      <c r="C28" s="186">
        <f>C27</f>
        <v>19.740599999999997</v>
      </c>
      <c r="D28" s="185" t="s">
        <v>440</v>
      </c>
      <c r="E28" s="186">
        <f>E27</f>
        <v>12.7</v>
      </c>
      <c r="F28" s="185" t="str">
        <f>F27</f>
        <v>Тип 7(линолеум)</v>
      </c>
      <c r="G28" s="186">
        <f>G27</f>
        <v>37.2713</v>
      </c>
      <c r="H28" s="185" t="str">
        <f>H27</f>
        <v>Глин.штукатурка, бумажн.обои,покраска</v>
      </c>
      <c r="I28" s="187">
        <f>I27</f>
        <v>1.75</v>
      </c>
      <c r="J28" s="187"/>
      <c r="K28" s="186">
        <f>K27</f>
        <v>13.7</v>
      </c>
      <c r="L28" s="188" t="s">
        <v>443</v>
      </c>
    </row>
    <row r="29" spans="1:12" ht="16.5">
      <c r="A29" s="189">
        <v>4</v>
      </c>
      <c r="B29" s="190" t="s">
        <v>472</v>
      </c>
      <c r="C29" s="191">
        <f>20.4+1.9</f>
        <v>22.299999999999997</v>
      </c>
      <c r="D29" s="190" t="s">
        <v>440</v>
      </c>
      <c r="E29" s="191">
        <v>13.6</v>
      </c>
      <c r="F29" s="190" t="str">
        <f>F28</f>
        <v>Тип 7(линолеум)</v>
      </c>
      <c r="G29" s="191">
        <f>4.03+11.44*2+3.05*2+5.7+1.32-I29+5.5</f>
        <v>43.78</v>
      </c>
      <c r="H29" s="190" t="str">
        <f>H28</f>
        <v>Глин.штукатурка, бумажн.обои,покраска</v>
      </c>
      <c r="I29" s="164">
        <v>1.75</v>
      </c>
      <c r="J29" s="164"/>
      <c r="K29" s="191">
        <v>14.8</v>
      </c>
      <c r="L29" s="192" t="s">
        <v>443</v>
      </c>
    </row>
    <row r="30" spans="1:12" ht="16.5">
      <c r="A30" s="193">
        <v>5</v>
      </c>
      <c r="B30" s="194" t="s">
        <v>473</v>
      </c>
      <c r="C30" s="195">
        <v>9.2</v>
      </c>
      <c r="D30" s="194" t="s">
        <v>440</v>
      </c>
      <c r="E30" s="195">
        <v>8.36</v>
      </c>
      <c r="F30" s="194" t="s">
        <v>474</v>
      </c>
      <c r="G30" s="195">
        <f>7.41+4.78+7.76*2-I30+J30-G31+6.5</f>
        <v>9.020000000000003</v>
      </c>
      <c r="H30" s="194" t="s">
        <v>452</v>
      </c>
      <c r="I30" s="181">
        <f>1.55+0.9</f>
        <v>2.45</v>
      </c>
      <c r="J30" s="181">
        <v>0.8</v>
      </c>
      <c r="K30" s="195" t="s">
        <v>448</v>
      </c>
      <c r="L30" s="196"/>
    </row>
    <row r="31" spans="1:12" ht="16.5">
      <c r="A31" s="197"/>
      <c r="B31" s="198"/>
      <c r="C31" s="199"/>
      <c r="D31" s="198"/>
      <c r="E31" s="199"/>
      <c r="F31" s="198"/>
      <c r="G31" s="199">
        <f>10.7*2.2</f>
        <v>23.54</v>
      </c>
      <c r="H31" s="198" t="s">
        <v>475</v>
      </c>
      <c r="I31" s="173"/>
      <c r="J31" s="173"/>
      <c r="K31" s="199" t="s">
        <v>448</v>
      </c>
      <c r="L31" s="200"/>
    </row>
    <row r="32" spans="1:12" ht="16.5">
      <c r="A32" s="184">
        <v>6</v>
      </c>
      <c r="B32" s="185" t="s">
        <v>476</v>
      </c>
      <c r="C32" s="186">
        <f>2.24*7.35</f>
        <v>16.464000000000002</v>
      </c>
      <c r="D32" s="185" t="s">
        <v>440</v>
      </c>
      <c r="E32" s="186">
        <f>14.5+2.8+0.7</f>
        <v>18</v>
      </c>
      <c r="F32" s="185" t="s">
        <v>477</v>
      </c>
      <c r="G32" s="186">
        <f>(4.86+5.62+20.2+22.43)-I32+10.07</f>
        <v>51.83</v>
      </c>
      <c r="H32" s="185" t="s">
        <v>442</v>
      </c>
      <c r="I32" s="187">
        <f>1.1+1.5+1.75*5</f>
        <v>11.35</v>
      </c>
      <c r="J32" s="187"/>
      <c r="K32" s="186">
        <f>4+7.2+2.4+1.1+1</f>
        <v>15.7</v>
      </c>
      <c r="L32" s="188" t="s">
        <v>443</v>
      </c>
    </row>
    <row r="33" spans="1:12" ht="16.5">
      <c r="A33" s="189">
        <v>7</v>
      </c>
      <c r="B33" s="190" t="s">
        <v>58</v>
      </c>
      <c r="C33" s="191">
        <v>7.1</v>
      </c>
      <c r="D33" s="190" t="s">
        <v>440</v>
      </c>
      <c r="E33" s="191">
        <v>5.25</v>
      </c>
      <c r="F33" s="190" t="str">
        <f>F29</f>
        <v>Тип 7(линолеум)</v>
      </c>
      <c r="G33" s="191">
        <f>9.84*2+8.34+2.63+2.21-I33+5.62</f>
        <v>36.93</v>
      </c>
      <c r="H33" s="190" t="s">
        <v>442</v>
      </c>
      <c r="I33" s="164">
        <v>1.55</v>
      </c>
      <c r="J33" s="164"/>
      <c r="K33" s="191">
        <v>10.1</v>
      </c>
      <c r="L33" s="192" t="s">
        <v>443</v>
      </c>
    </row>
    <row r="34" spans="1:12" ht="16.5">
      <c r="A34" s="184">
        <v>8</v>
      </c>
      <c r="B34" s="185" t="s">
        <v>60</v>
      </c>
      <c r="C34" s="186">
        <v>4.3</v>
      </c>
      <c r="D34" s="185" t="s">
        <v>440</v>
      </c>
      <c r="E34" s="186">
        <v>3.4</v>
      </c>
      <c r="F34" s="185" t="str">
        <f>F29</f>
        <v>Тип 7(линолеум)</v>
      </c>
      <c r="G34" s="186">
        <f>2.4*2+5.24+10.5-I34+3.92</f>
        <v>22.909999999999997</v>
      </c>
      <c r="H34" s="185" t="s">
        <v>442</v>
      </c>
      <c r="I34" s="187">
        <v>1.55</v>
      </c>
      <c r="J34" s="187"/>
      <c r="K34" s="186">
        <v>7.1</v>
      </c>
      <c r="L34" s="188" t="s">
        <v>443</v>
      </c>
    </row>
    <row r="35" spans="1:12" ht="16.5">
      <c r="A35" s="189">
        <v>9</v>
      </c>
      <c r="B35" s="190" t="s">
        <v>61</v>
      </c>
      <c r="C35" s="191">
        <f>4.65*6.2</f>
        <v>28.830000000000002</v>
      </c>
      <c r="D35" s="190" t="s">
        <v>440</v>
      </c>
      <c r="E35" s="191">
        <f>25.66+1.4</f>
        <v>27.06</v>
      </c>
      <c r="F35" s="190" t="s">
        <v>478</v>
      </c>
      <c r="G35" s="191">
        <f>26.66+7.43+8.83-I35-G36+11.1</f>
        <v>30.770000000000003</v>
      </c>
      <c r="H35" s="190" t="s">
        <v>442</v>
      </c>
      <c r="I35" s="164">
        <f>1.75+1.4</f>
        <v>3.15</v>
      </c>
      <c r="J35" s="164"/>
      <c r="K35" s="191" t="s">
        <v>448</v>
      </c>
      <c r="L35" s="192"/>
    </row>
    <row r="36" spans="1:12" ht="16.5">
      <c r="A36" s="189"/>
      <c r="B36" s="190"/>
      <c r="C36" s="191"/>
      <c r="D36" s="190"/>
      <c r="E36" s="191"/>
      <c r="F36" s="190"/>
      <c r="G36" s="191">
        <f>20.1*1</f>
        <v>20.1</v>
      </c>
      <c r="H36" s="190" t="s">
        <v>479</v>
      </c>
      <c r="I36" s="164"/>
      <c r="J36" s="164"/>
      <c r="K36" s="191" t="s">
        <v>448</v>
      </c>
      <c r="L36" s="192"/>
    </row>
    <row r="37" spans="1:12" ht="16.5">
      <c r="A37" s="184">
        <v>10</v>
      </c>
      <c r="B37" s="185" t="s">
        <v>28</v>
      </c>
      <c r="C37" s="186">
        <f>4.65*3.8+2.5</f>
        <v>20.17</v>
      </c>
      <c r="D37" s="185" t="s">
        <v>440</v>
      </c>
      <c r="E37" s="186">
        <v>15.64</v>
      </c>
      <c r="F37" s="185" t="str">
        <f>F33</f>
        <v>Тип 7(линолеум)</v>
      </c>
      <c r="G37" s="186">
        <f>12.39+6.8*2-I37</f>
        <v>24.470000000000002</v>
      </c>
      <c r="H37" s="185" t="s">
        <v>442</v>
      </c>
      <c r="I37" s="187">
        <v>1.52</v>
      </c>
      <c r="J37" s="187"/>
      <c r="K37" s="186">
        <v>15</v>
      </c>
      <c r="L37" s="188" t="s">
        <v>443</v>
      </c>
    </row>
    <row r="38" spans="1:12" ht="16.5">
      <c r="A38" s="164"/>
      <c r="B38" s="169" t="s">
        <v>480</v>
      </c>
      <c r="C38" s="203"/>
      <c r="D38" s="203"/>
      <c r="E38" s="164"/>
      <c r="F38" s="203"/>
      <c r="G38" s="203"/>
      <c r="H38" s="203"/>
      <c r="I38" s="164"/>
      <c r="J38" s="164"/>
      <c r="K38" s="203"/>
      <c r="L38" s="164"/>
    </row>
    <row r="39" spans="1:12" ht="16.5">
      <c r="A39" s="204"/>
      <c r="B39" s="205"/>
      <c r="C39" s="186">
        <f>SUM(C7:C37)-C40-C41-C42</f>
        <v>291.33320000000003</v>
      </c>
      <c r="D39" s="205" t="s">
        <v>440</v>
      </c>
      <c r="E39" s="186">
        <f>E7</f>
        <v>42.12</v>
      </c>
      <c r="F39" s="205" t="str">
        <f>F7</f>
        <v> Тип 1(паркет)</v>
      </c>
      <c r="G39" s="186">
        <f>SUM(G7:G11)+G13+SUM(G26:G29)+SUM(G32:G35)+G37</f>
        <v>508.41020000000003</v>
      </c>
      <c r="H39" s="205" t="s">
        <v>442</v>
      </c>
      <c r="I39" s="204"/>
      <c r="J39" s="204"/>
      <c r="K39" s="186">
        <f>SUM(K7:K21)+SUM(K26:K37)</f>
        <v>178.35999999999999</v>
      </c>
      <c r="L39" s="205" t="str">
        <f>L37</f>
        <v>деревянный</v>
      </c>
    </row>
    <row r="40" spans="1:12" ht="16.5">
      <c r="A40" s="204"/>
      <c r="B40" s="204"/>
      <c r="C40" s="186">
        <f>C22</f>
        <v>23.55</v>
      </c>
      <c r="D40" s="205" t="s">
        <v>463</v>
      </c>
      <c r="E40" s="186">
        <f>E9+E10+E11</f>
        <v>30.990000000000002</v>
      </c>
      <c r="F40" s="205" t="str">
        <f>F9</f>
        <v> Тип 2(плитка)</v>
      </c>
      <c r="G40" s="186">
        <f>G12+G15+G20+G21+G31+G36</f>
        <v>109.09799999999998</v>
      </c>
      <c r="H40" s="205" t="s">
        <v>462</v>
      </c>
      <c r="I40" s="204"/>
      <c r="J40" s="204"/>
      <c r="K40" s="186">
        <f>K22</f>
        <v>19.4</v>
      </c>
      <c r="L40" s="205" t="str">
        <f>L22</f>
        <v>керамичный</v>
      </c>
    </row>
    <row r="41" spans="1:12" ht="16.5">
      <c r="A41" s="204"/>
      <c r="B41" s="204"/>
      <c r="C41" s="186">
        <f>C17</f>
        <v>3.63</v>
      </c>
      <c r="D41" s="205" t="s">
        <v>481</v>
      </c>
      <c r="E41" s="186">
        <f>E8+E13</f>
        <v>21.259999999999998</v>
      </c>
      <c r="F41" s="205" t="str">
        <f>F8</f>
        <v> Тип 3(линолеум)</v>
      </c>
      <c r="G41" s="186">
        <f>G14+G19+G22+G30+G23+G24</f>
        <v>224.88000000000002</v>
      </c>
      <c r="H41" s="205" t="s">
        <v>452</v>
      </c>
      <c r="I41" s="204"/>
      <c r="J41" s="204"/>
      <c r="K41" s="186">
        <f>K23+K24</f>
        <v>39.2</v>
      </c>
      <c r="L41" s="205" t="s">
        <v>429</v>
      </c>
    </row>
    <row r="42" spans="1:12" ht="16.5">
      <c r="A42" s="204"/>
      <c r="B42" s="204"/>
      <c r="C42" s="186">
        <f>C23+C24</f>
        <v>57.32</v>
      </c>
      <c r="D42" s="205" t="s">
        <v>466</v>
      </c>
      <c r="E42" s="186">
        <f>E22+7</f>
        <v>31.95</v>
      </c>
      <c r="F42" s="205" t="str">
        <f>F22</f>
        <v> Тип 4(плитка)</v>
      </c>
      <c r="G42" s="186">
        <f>G17</f>
        <v>15.28</v>
      </c>
      <c r="H42" s="205" t="s">
        <v>457</v>
      </c>
      <c r="I42" s="204"/>
      <c r="J42" s="204"/>
      <c r="K42" s="186"/>
      <c r="L42" s="204"/>
    </row>
    <row r="43" spans="1:12" ht="16.5">
      <c r="A43" s="204"/>
      <c r="B43" s="204"/>
      <c r="C43" s="206"/>
      <c r="D43" s="207"/>
      <c r="E43" s="186">
        <f>E14+E17+E19+E21+E35-7</f>
        <v>40.08</v>
      </c>
      <c r="F43" s="205" t="s">
        <v>451</v>
      </c>
      <c r="G43" s="186">
        <f>G16</f>
        <v>33.760000000000005</v>
      </c>
      <c r="H43" s="205" t="s">
        <v>454</v>
      </c>
      <c r="I43" s="204"/>
      <c r="J43" s="204"/>
      <c r="K43" s="186"/>
      <c r="L43" s="204"/>
    </row>
    <row r="44" spans="1:12" ht="16.5">
      <c r="A44" s="164"/>
      <c r="B44" s="208"/>
      <c r="C44" s="209"/>
      <c r="D44" s="209"/>
      <c r="E44" s="186">
        <f>E30</f>
        <v>8.36</v>
      </c>
      <c r="F44" s="205" t="str">
        <f>F30</f>
        <v>Тип 6(плитка)</v>
      </c>
      <c r="G44" s="209"/>
      <c r="H44" s="209"/>
      <c r="I44" s="208"/>
      <c r="J44" s="208"/>
      <c r="K44" s="208"/>
      <c r="L44" s="208"/>
    </row>
    <row r="45" spans="1:12" ht="16.5">
      <c r="A45" s="164"/>
      <c r="B45" s="208"/>
      <c r="C45" s="209"/>
      <c r="D45" s="209"/>
      <c r="E45" s="186">
        <f>SUM(E26:E29)+E33+E34+E37</f>
        <v>78.09</v>
      </c>
      <c r="F45" s="205" t="str">
        <f>F34</f>
        <v>Тип 7(линолеум)</v>
      </c>
      <c r="G45" s="209"/>
      <c r="H45" s="209"/>
      <c r="I45" s="208"/>
      <c r="J45" s="208"/>
      <c r="K45" s="208"/>
      <c r="L45" s="208"/>
    </row>
    <row r="46" spans="1:12" ht="16.5">
      <c r="A46" s="164"/>
      <c r="B46" s="208"/>
      <c r="C46" s="209"/>
      <c r="D46" s="209"/>
      <c r="E46" s="186">
        <f>E32</f>
        <v>18</v>
      </c>
      <c r="F46" s="205" t="str">
        <f>F32</f>
        <v>Тип 8,9(паркет)</v>
      </c>
      <c r="G46" s="209"/>
      <c r="H46" s="209"/>
      <c r="I46" s="208"/>
      <c r="J46" s="208"/>
      <c r="K46" s="208"/>
      <c r="L46" s="208"/>
    </row>
    <row r="47" spans="5:6" ht="16.5">
      <c r="E47" s="186">
        <f>E23+E24</f>
        <v>50.62</v>
      </c>
      <c r="F47" s="205" t="s">
        <v>482</v>
      </c>
    </row>
  </sheetData>
  <mergeCells count="2">
    <mergeCell ref="A1:F1"/>
    <mergeCell ref="C2:H2"/>
  </mergeCells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1"/>
  <sheetViews>
    <sheetView tabSelected="1" view="pageBreakPreview" zoomScaleSheetLayoutView="100" workbookViewId="0" topLeftCell="A1">
      <selection activeCell="E6" sqref="A1:IV65536"/>
    </sheetView>
  </sheetViews>
  <sheetFormatPr defaultColWidth="9.77734375" defaultRowHeight="16.5"/>
  <cols>
    <col min="1" max="1" width="2.99609375" style="210" customWidth="1"/>
    <col min="2" max="2" width="29.6640625" style="211" customWidth="1"/>
    <col min="3" max="3" width="5.10546875" style="0" customWidth="1"/>
    <col min="4" max="4" width="6.77734375" style="0" customWidth="1"/>
    <col min="5" max="5" width="10.10546875" style="0" customWidth="1"/>
    <col min="6" max="6" width="9.4453125" style="0" customWidth="1"/>
    <col min="7" max="7" width="6.88671875" style="0" customWidth="1"/>
    <col min="8" max="8" width="3.6640625" style="0" customWidth="1"/>
    <col min="9" max="9" width="7.10546875" style="0" customWidth="1"/>
    <col min="10" max="10" width="5.99609375" style="0" customWidth="1"/>
    <col min="11" max="11" width="5.5546875" style="0" customWidth="1"/>
    <col min="12" max="12" width="6.4453125" style="0" customWidth="1"/>
    <col min="13" max="13" width="6.6640625" style="0" customWidth="1"/>
    <col min="14" max="14" width="7.99609375" style="0" customWidth="1"/>
    <col min="15" max="15" width="4.3359375" style="0" customWidth="1"/>
    <col min="16" max="16" width="7.10546875" style="0" customWidth="1"/>
    <col min="17" max="17" width="4.21484375" style="0" customWidth="1"/>
  </cols>
  <sheetData>
    <row r="1" spans="1:6" ht="16.5">
      <c r="A1" s="212"/>
      <c r="B1" s="213" t="s">
        <v>483</v>
      </c>
      <c r="E1" s="213"/>
      <c r="F1" s="213"/>
    </row>
    <row r="2" spans="1:6" ht="16.5">
      <c r="A2" s="212"/>
      <c r="B2" s="213" t="s">
        <v>484</v>
      </c>
      <c r="E2" s="214"/>
      <c r="F2" s="214"/>
    </row>
    <row r="3" spans="1:6" ht="16.5">
      <c r="A3" s="212"/>
      <c r="B3" s="213"/>
      <c r="E3" s="214"/>
      <c r="F3" s="214"/>
    </row>
    <row r="4" spans="1:6" ht="16.5">
      <c r="A4" s="213"/>
      <c r="B4" s="213" t="s">
        <v>485</v>
      </c>
      <c r="E4" s="213" t="s">
        <v>486</v>
      </c>
      <c r="F4" s="213"/>
    </row>
    <row r="5" spans="1:6" ht="16.5">
      <c r="A5" s="213"/>
      <c r="B5" s="213"/>
      <c r="E5" s="213"/>
      <c r="F5" s="213"/>
    </row>
    <row r="6" spans="1:6" ht="16.5">
      <c r="A6" s="213"/>
      <c r="B6" s="213"/>
      <c r="E6" s="213"/>
      <c r="F6" s="213"/>
    </row>
    <row r="7" spans="1:6" ht="16.5">
      <c r="A7" s="215">
        <v>1</v>
      </c>
      <c r="B7" s="215" t="s">
        <v>487</v>
      </c>
      <c r="E7" s="213"/>
      <c r="F7" s="213"/>
    </row>
    <row r="8" spans="1:6" ht="29.25">
      <c r="A8" s="213"/>
      <c r="B8" s="216" t="s">
        <v>488</v>
      </c>
      <c r="E8" s="217">
        <v>13</v>
      </c>
      <c r="F8" s="213" t="s">
        <v>489</v>
      </c>
    </row>
    <row r="9" spans="1:6" ht="29.25">
      <c r="A9" s="213"/>
      <c r="B9" s="216" t="s">
        <v>490</v>
      </c>
      <c r="E9" s="213">
        <v>6</v>
      </c>
      <c r="F9" s="213" t="s">
        <v>491</v>
      </c>
    </row>
    <row r="10" spans="1:6" ht="16.5">
      <c r="A10" s="213"/>
      <c r="B10" s="213" t="s">
        <v>492</v>
      </c>
      <c r="E10" s="213">
        <v>10</v>
      </c>
      <c r="F10" s="213" t="s">
        <v>120</v>
      </c>
    </row>
    <row r="11" spans="1:6" ht="16.5">
      <c r="A11" s="214"/>
      <c r="B11" s="214" t="s">
        <v>493</v>
      </c>
      <c r="E11" s="214"/>
      <c r="F11" s="214"/>
    </row>
    <row r="12" spans="1:6" ht="16.5">
      <c r="A12" s="213"/>
      <c r="B12" s="213"/>
      <c r="E12" s="213"/>
      <c r="F12" s="213"/>
    </row>
    <row r="13" spans="1:6" ht="16.5">
      <c r="A13" s="215">
        <v>2</v>
      </c>
      <c r="B13" s="215" t="s">
        <v>494</v>
      </c>
      <c r="E13" s="213"/>
      <c r="F13" s="213"/>
    </row>
    <row r="14" spans="1:6" ht="16.5">
      <c r="A14" s="213"/>
      <c r="B14" s="218" t="s">
        <v>495</v>
      </c>
      <c r="E14" s="219">
        <f>410*1.15</f>
        <v>471.49999999999994</v>
      </c>
      <c r="F14" s="219" t="s">
        <v>24</v>
      </c>
    </row>
    <row r="15" spans="1:6" ht="16.5">
      <c r="A15" s="213"/>
      <c r="B15" s="218" t="s">
        <v>496</v>
      </c>
      <c r="E15" s="219">
        <v>186</v>
      </c>
      <c r="F15" s="219" t="s">
        <v>136</v>
      </c>
    </row>
    <row r="16" spans="1:6" ht="29.25">
      <c r="A16" s="213"/>
      <c r="B16" s="218" t="s">
        <v>497</v>
      </c>
      <c r="E16" s="219">
        <v>200</v>
      </c>
      <c r="F16" s="219" t="s">
        <v>24</v>
      </c>
    </row>
    <row r="17" spans="1:6" ht="29.25">
      <c r="A17" s="213"/>
      <c r="B17" s="218" t="s">
        <v>498</v>
      </c>
      <c r="E17" s="219">
        <f>67*0.78</f>
        <v>52.260000000000005</v>
      </c>
      <c r="F17" s="219" t="s">
        <v>24</v>
      </c>
    </row>
    <row r="18" spans="1:6" ht="29.25">
      <c r="A18" s="213"/>
      <c r="B18" s="218" t="s">
        <v>499</v>
      </c>
      <c r="E18" s="219">
        <f>185*0.15</f>
        <v>27.75</v>
      </c>
      <c r="F18" s="219" t="s">
        <v>24</v>
      </c>
    </row>
    <row r="19" spans="1:6" ht="29.25">
      <c r="A19" s="213"/>
      <c r="B19" s="218" t="s">
        <v>500</v>
      </c>
      <c r="E19" s="219">
        <f>186</f>
        <v>186</v>
      </c>
      <c r="F19" s="219" t="s">
        <v>15</v>
      </c>
    </row>
    <row r="20" spans="1:6" ht="16.5">
      <c r="A20" s="213"/>
      <c r="B20" s="213" t="s">
        <v>501</v>
      </c>
      <c r="E20" s="219">
        <f>186</f>
        <v>186</v>
      </c>
      <c r="F20" s="219" t="s">
        <v>15</v>
      </c>
    </row>
    <row r="21" spans="1:6" ht="29.25">
      <c r="A21" s="213"/>
      <c r="B21" s="218" t="s">
        <v>502</v>
      </c>
      <c r="E21" s="219">
        <f>59+8</f>
        <v>67</v>
      </c>
      <c r="F21" s="219" t="s">
        <v>15</v>
      </c>
    </row>
    <row r="22" spans="1:6" ht="16.5">
      <c r="A22" s="213"/>
      <c r="B22" s="214" t="s">
        <v>503</v>
      </c>
      <c r="E22" s="213"/>
      <c r="F22" s="213"/>
    </row>
    <row r="23" spans="1:6" ht="29.25">
      <c r="A23" s="213"/>
      <c r="B23" s="216" t="s">
        <v>504</v>
      </c>
      <c r="E23" s="219">
        <f>1.5*55*0.4</f>
        <v>33</v>
      </c>
      <c r="F23" s="219" t="s">
        <v>24</v>
      </c>
    </row>
    <row r="24" spans="1:6" ht="16.5">
      <c r="A24" s="213"/>
      <c r="B24" s="213" t="s">
        <v>505</v>
      </c>
      <c r="E24" s="219"/>
      <c r="F24" s="219"/>
    </row>
    <row r="25" spans="1:6" ht="29.25">
      <c r="A25" s="213"/>
      <c r="B25" s="216" t="s">
        <v>506</v>
      </c>
      <c r="E25" s="219">
        <v>1</v>
      </c>
      <c r="F25" s="219" t="s">
        <v>120</v>
      </c>
    </row>
    <row r="26" spans="1:6" ht="16.5">
      <c r="A26" s="213"/>
      <c r="B26" s="213" t="s">
        <v>507</v>
      </c>
      <c r="E26" s="219"/>
      <c r="F26" s="219"/>
    </row>
    <row r="27" spans="1:6" ht="29.25">
      <c r="A27" s="213"/>
      <c r="B27" s="216" t="s">
        <v>508</v>
      </c>
      <c r="E27" s="219">
        <v>1</v>
      </c>
      <c r="F27" s="219" t="s">
        <v>120</v>
      </c>
    </row>
    <row r="28" spans="1:6" ht="29.25">
      <c r="A28" s="213"/>
      <c r="B28" s="216" t="s">
        <v>509</v>
      </c>
      <c r="E28" s="219">
        <v>1</v>
      </c>
      <c r="F28" s="219" t="s">
        <v>120</v>
      </c>
    </row>
    <row r="29" spans="1:6" ht="16.5">
      <c r="A29" s="213"/>
      <c r="B29" s="213" t="s">
        <v>510</v>
      </c>
      <c r="E29" s="219">
        <v>3</v>
      </c>
      <c r="F29" s="219" t="s">
        <v>120</v>
      </c>
    </row>
    <row r="30" spans="1:6" ht="29.25">
      <c r="A30" s="213"/>
      <c r="B30" s="216" t="s">
        <v>511</v>
      </c>
      <c r="E30" s="219">
        <f>40+30</f>
        <v>70</v>
      </c>
      <c r="F30" s="219" t="s">
        <v>438</v>
      </c>
    </row>
    <row r="31" spans="1:6" ht="57.75">
      <c r="A31" s="213"/>
      <c r="B31" s="218" t="s">
        <v>512</v>
      </c>
      <c r="E31" s="219">
        <f>4.8+52+18+8</f>
        <v>82.8</v>
      </c>
      <c r="F31" s="219" t="s">
        <v>24</v>
      </c>
    </row>
    <row r="32" spans="1:6" ht="16.5">
      <c r="A32" s="214"/>
      <c r="B32" s="214" t="s">
        <v>513</v>
      </c>
      <c r="E32" s="214"/>
      <c r="F32" s="214"/>
    </row>
    <row r="33" spans="1:2" ht="16.5">
      <c r="A33"/>
      <c r="B33"/>
    </row>
    <row r="34" spans="1:6" ht="16.5">
      <c r="A34" s="215">
        <v>3</v>
      </c>
      <c r="B34" s="215" t="s">
        <v>514</v>
      </c>
      <c r="E34" s="213"/>
      <c r="F34" s="213"/>
    </row>
    <row r="35" spans="1:6" ht="16.5">
      <c r="A35" s="213"/>
      <c r="B35" s="218"/>
      <c r="E35" s="213"/>
      <c r="F35" s="213"/>
    </row>
    <row r="36" spans="1:6" ht="43.5">
      <c r="A36" s="213"/>
      <c r="B36" s="218" t="s">
        <v>515</v>
      </c>
      <c r="E36" s="217">
        <v>80.2</v>
      </c>
      <c r="F36" s="213" t="s">
        <v>24</v>
      </c>
    </row>
    <row r="37" spans="1:6" ht="16.5">
      <c r="A37" s="213"/>
      <c r="B37" s="213" t="s">
        <v>516</v>
      </c>
      <c r="E37" s="217">
        <v>30.4</v>
      </c>
      <c r="F37" s="213" t="str">
        <f>F36</f>
        <v>м3</v>
      </c>
    </row>
    <row r="38" spans="1:6" ht="16.5">
      <c r="A38" s="213"/>
      <c r="B38" s="213" t="s">
        <v>517</v>
      </c>
      <c r="E38" s="217">
        <v>16.2</v>
      </c>
      <c r="F38" s="213" t="s">
        <v>24</v>
      </c>
    </row>
    <row r="39" spans="1:6" ht="16.5">
      <c r="A39" s="213"/>
      <c r="B39" s="213" t="s">
        <v>518</v>
      </c>
      <c r="E39" s="217">
        <v>25.44</v>
      </c>
      <c r="F39" s="213" t="str">
        <f>F38</f>
        <v>м3</v>
      </c>
    </row>
    <row r="40" spans="1:6" ht="16.5">
      <c r="A40" s="213"/>
      <c r="B40" s="213" t="s">
        <v>519</v>
      </c>
      <c r="E40" s="217">
        <v>1.7000000000000002</v>
      </c>
      <c r="F40" s="213" t="s">
        <v>24</v>
      </c>
    </row>
    <row r="41" spans="1:6" ht="16.5">
      <c r="A41" s="213"/>
      <c r="B41" s="213" t="s">
        <v>520</v>
      </c>
      <c r="E41" s="217">
        <v>1.8</v>
      </c>
      <c r="F41" s="213" t="s">
        <v>24</v>
      </c>
    </row>
    <row r="42" spans="1:6" ht="16.5">
      <c r="A42" s="213"/>
      <c r="B42" s="213" t="s">
        <v>521</v>
      </c>
      <c r="E42" s="217">
        <v>0.71</v>
      </c>
      <c r="F42" s="213" t="s">
        <v>24</v>
      </c>
    </row>
    <row r="43" spans="1:6" ht="16.5">
      <c r="A43" s="213"/>
      <c r="B43" s="213" t="s">
        <v>522</v>
      </c>
      <c r="E43" s="217">
        <v>7</v>
      </c>
      <c r="F43" s="213" t="s">
        <v>24</v>
      </c>
    </row>
    <row r="44" spans="1:6" ht="16.5">
      <c r="A44" s="213"/>
      <c r="B44" s="213" t="s">
        <v>523</v>
      </c>
      <c r="E44" s="217">
        <v>15.5</v>
      </c>
      <c r="F44" s="213" t="s">
        <v>24</v>
      </c>
    </row>
    <row r="45" spans="1:6" ht="29.25">
      <c r="A45" s="213"/>
      <c r="B45" s="218" t="s">
        <v>524</v>
      </c>
      <c r="E45" s="217">
        <v>1</v>
      </c>
      <c r="F45" s="213" t="s">
        <v>24</v>
      </c>
    </row>
    <row r="46" spans="1:6" ht="29.25">
      <c r="A46" s="213"/>
      <c r="B46" s="218" t="s">
        <v>525</v>
      </c>
      <c r="E46" s="217">
        <v>1.12</v>
      </c>
      <c r="F46" s="213" t="s">
        <v>526</v>
      </c>
    </row>
    <row r="47" spans="1:6" ht="16.5">
      <c r="A47" s="213"/>
      <c r="B47" s="218" t="s">
        <v>527</v>
      </c>
      <c r="E47" s="217"/>
      <c r="F47" s="213"/>
    </row>
    <row r="48" spans="1:6" ht="29.25">
      <c r="A48" s="213"/>
      <c r="B48" s="218" t="s">
        <v>528</v>
      </c>
      <c r="E48" s="213">
        <v>27</v>
      </c>
      <c r="F48" s="213" t="s">
        <v>438</v>
      </c>
    </row>
    <row r="49" spans="1:6" ht="16.5">
      <c r="A49" s="213"/>
      <c r="B49" s="218" t="s">
        <v>529</v>
      </c>
      <c r="E49" s="213">
        <v>50</v>
      </c>
      <c r="F49" s="213" t="s">
        <v>438</v>
      </c>
    </row>
    <row r="50" spans="1:6" ht="16.5">
      <c r="A50" s="214"/>
      <c r="B50" s="214" t="s">
        <v>530</v>
      </c>
      <c r="E50" s="217"/>
      <c r="F50" s="214"/>
    </row>
    <row r="51" spans="1:6" ht="16.5">
      <c r="A51" s="213"/>
      <c r="B51" s="213"/>
      <c r="E51" s="213"/>
      <c r="F51" s="213"/>
    </row>
    <row r="52" spans="1:6" ht="16.5">
      <c r="A52" s="215">
        <v>4</v>
      </c>
      <c r="B52" s="215" t="s">
        <v>531</v>
      </c>
      <c r="E52" s="213"/>
      <c r="F52" s="213"/>
    </row>
    <row r="53" spans="1:6" ht="16.5">
      <c r="A53" s="213"/>
      <c r="B53" s="216" t="s">
        <v>532</v>
      </c>
      <c r="E53" s="217">
        <f>материалы!L18+материалы!L19+материалы!L20</f>
        <v>114.837275</v>
      </c>
      <c r="F53" s="213" t="s">
        <v>24</v>
      </c>
    </row>
    <row r="54" spans="1:6" ht="16.5">
      <c r="A54" s="213"/>
      <c r="B54" s="216" t="s">
        <v>533</v>
      </c>
      <c r="E54" s="217">
        <f>материалы!J21</f>
        <v>99.91</v>
      </c>
      <c r="F54" s="213" t="s">
        <v>15</v>
      </c>
    </row>
    <row r="55" spans="1:6" ht="16.5">
      <c r="A55" s="213"/>
      <c r="B55" s="216" t="s">
        <v>534</v>
      </c>
      <c r="E55" s="217">
        <f>материалы!J25</f>
        <v>53.62</v>
      </c>
      <c r="F55" s="213" t="s">
        <v>15</v>
      </c>
    </row>
    <row r="56" spans="1:6" ht="16.5">
      <c r="A56" s="213"/>
      <c r="B56" s="216" t="s">
        <v>535</v>
      </c>
      <c r="E56" s="217"/>
      <c r="F56" s="213"/>
    </row>
    <row r="57" spans="1:6" ht="16.5">
      <c r="A57" s="213"/>
      <c r="B57" s="216" t="str">
        <f>материалы!A28</f>
        <v>Бетонн.перемычки 2ПБ-19-3П</v>
      </c>
      <c r="E57" s="217">
        <f>материалы!J28</f>
        <v>6</v>
      </c>
      <c r="F57" s="213" t="s">
        <v>120</v>
      </c>
    </row>
    <row r="58" spans="1:6" ht="16.5">
      <c r="A58" s="213"/>
      <c r="B58" s="216" t="str">
        <f>материалы!A29</f>
        <v>Бетонн.перемычки 2ПБ-17-2П</v>
      </c>
      <c r="E58" s="217">
        <f>материалы!J29</f>
        <v>8</v>
      </c>
      <c r="F58" s="213" t="str">
        <f>F57</f>
        <v>шт.</v>
      </c>
    </row>
    <row r="59" spans="1:6" ht="16.5">
      <c r="A59" s="213"/>
      <c r="B59" s="220" t="str">
        <f>материалы!A30</f>
        <v>Бетонн.перемычки 2ПБ-13-1П</v>
      </c>
      <c r="E59" s="217">
        <f>материалы!J30</f>
        <v>30</v>
      </c>
      <c r="F59" s="213" t="s">
        <v>120</v>
      </c>
    </row>
    <row r="60" spans="1:6" ht="16.5">
      <c r="A60" s="213"/>
      <c r="B60" s="220" t="str">
        <f>материалы!A31</f>
        <v>Металл.перемычка Швелер№14</v>
      </c>
      <c r="E60" s="217">
        <v>1</v>
      </c>
      <c r="F60" s="213" t="s">
        <v>120</v>
      </c>
    </row>
    <row r="61" spans="1:6" ht="29.25">
      <c r="A61" s="213"/>
      <c r="B61" s="216" t="s">
        <v>536</v>
      </c>
      <c r="E61" s="217"/>
      <c r="F61" s="217"/>
    </row>
    <row r="62" spans="1:6" ht="16.5">
      <c r="A62" s="214"/>
      <c r="B62" s="214" t="s">
        <v>537</v>
      </c>
      <c r="E62" s="214"/>
      <c r="F62" s="214"/>
    </row>
    <row r="63" spans="1:6" ht="16.5">
      <c r="A63" s="213"/>
      <c r="B63" s="213"/>
      <c r="E63" s="213"/>
      <c r="F63" s="213"/>
    </row>
    <row r="64" spans="1:6" ht="16.5">
      <c r="A64" s="215">
        <v>5</v>
      </c>
      <c r="B64" s="215" t="s">
        <v>538</v>
      </c>
      <c r="E64" s="213"/>
      <c r="F64" s="213"/>
    </row>
    <row r="65" spans="1:6" ht="43.5">
      <c r="A65" s="213"/>
      <c r="B65" s="216" t="s">
        <v>539</v>
      </c>
      <c r="E65" s="217">
        <f>'Окна-двери'!H17+'Окна-двери'!J17+'Окна-двери'!L9</f>
        <v>53.266400000000004</v>
      </c>
      <c r="F65" s="213" t="s">
        <v>136</v>
      </c>
    </row>
    <row r="66" spans="1:6" ht="29.25">
      <c r="A66" s="213"/>
      <c r="B66" s="216" t="s">
        <v>540</v>
      </c>
      <c r="E66" s="217">
        <f>'Окна-двери'!F44+'Окна-двери'!F40</f>
        <v>2.8225</v>
      </c>
      <c r="F66" s="213" t="s">
        <v>15</v>
      </c>
    </row>
    <row r="67" spans="1:6" ht="16.5">
      <c r="A67" s="213"/>
      <c r="B67" s="216" t="s">
        <v>541</v>
      </c>
      <c r="E67" s="217">
        <f>'Окна-двери'!E18</f>
        <v>7</v>
      </c>
      <c r="F67" s="213" t="s">
        <v>115</v>
      </c>
    </row>
    <row r="68" spans="1:6" ht="16.5">
      <c r="A68" s="213"/>
      <c r="B68" s="216" t="s">
        <v>542</v>
      </c>
      <c r="E68" s="213">
        <v>1</v>
      </c>
      <c r="F68" s="213" t="s">
        <v>120</v>
      </c>
    </row>
    <row r="69" spans="1:6" ht="16.5">
      <c r="A69" s="213"/>
      <c r="B69" s="213" t="s">
        <v>543</v>
      </c>
      <c r="E69" s="213">
        <f>'Окна-двери'!E47</f>
        <v>23</v>
      </c>
      <c r="F69" s="213" t="s">
        <v>120</v>
      </c>
    </row>
    <row r="70" spans="1:6" ht="16.5">
      <c r="A70" s="213"/>
      <c r="B70" s="213" t="s">
        <v>544</v>
      </c>
      <c r="E70" s="213">
        <v>3</v>
      </c>
      <c r="F70" s="213" t="s">
        <v>120</v>
      </c>
    </row>
    <row r="71" spans="1:6" ht="44.25">
      <c r="A71" s="213"/>
      <c r="B71" s="221" t="s">
        <v>545</v>
      </c>
      <c r="E71" s="213">
        <v>1</v>
      </c>
      <c r="F71" s="213" t="s">
        <v>120</v>
      </c>
    </row>
    <row r="72" spans="1:6" ht="16.5">
      <c r="A72" s="213"/>
      <c r="B72" s="216" t="s">
        <v>546</v>
      </c>
      <c r="E72" s="213"/>
      <c r="F72" s="213"/>
    </row>
    <row r="73" spans="1:6" ht="16.5">
      <c r="A73" s="214"/>
      <c r="B73" s="214" t="s">
        <v>547</v>
      </c>
      <c r="E73" s="214"/>
      <c r="F73" s="214"/>
    </row>
    <row r="74" spans="1:6" ht="16.5">
      <c r="A74" s="213"/>
      <c r="B74" s="213"/>
      <c r="E74" s="213"/>
      <c r="F74" s="213"/>
    </row>
    <row r="75" spans="1:6" ht="16.5">
      <c r="A75" s="215">
        <v>6</v>
      </c>
      <c r="B75" s="215" t="s">
        <v>548</v>
      </c>
      <c r="E75" s="213"/>
      <c r="F75" s="213"/>
    </row>
    <row r="76" spans="1:6" ht="16.5">
      <c r="A76" s="213"/>
      <c r="B76" s="217" t="s">
        <v>549</v>
      </c>
      <c r="E76" s="217">
        <v>12.2</v>
      </c>
      <c r="F76" s="213" t="s">
        <v>136</v>
      </c>
    </row>
    <row r="77" spans="1:6" ht="16.5">
      <c r="A77" s="213"/>
      <c r="B77" s="213" t="s">
        <v>550</v>
      </c>
      <c r="E77" s="213">
        <f>6*3.26</f>
        <v>19.56</v>
      </c>
      <c r="F77" s="213" t="s">
        <v>438</v>
      </c>
    </row>
    <row r="78" spans="1:6" ht="16.5">
      <c r="A78" s="213"/>
      <c r="B78" s="213" t="s">
        <v>551</v>
      </c>
      <c r="E78" s="213">
        <v>2</v>
      </c>
      <c r="F78" s="213" t="s">
        <v>120</v>
      </c>
    </row>
    <row r="79" spans="1:6" ht="16.5">
      <c r="A79" s="214"/>
      <c r="B79" s="214" t="s">
        <v>552</v>
      </c>
      <c r="E79" s="214"/>
      <c r="F79" s="214"/>
    </row>
    <row r="80" spans="1:6" ht="16.5">
      <c r="A80" s="213"/>
      <c r="B80" s="213"/>
      <c r="E80" s="213"/>
      <c r="F80" s="213"/>
    </row>
    <row r="81" spans="1:6" ht="16.5">
      <c r="A81" s="215">
        <v>7</v>
      </c>
      <c r="B81" s="215" t="s">
        <v>553</v>
      </c>
      <c r="E81" s="213"/>
      <c r="F81" s="213"/>
    </row>
    <row r="82" spans="1:6" ht="43.5">
      <c r="A82" s="213"/>
      <c r="B82" s="218" t="s">
        <v>554</v>
      </c>
      <c r="E82" s="217">
        <f>материалы!F15</f>
        <v>397.43</v>
      </c>
      <c r="F82" s="213" t="s">
        <v>136</v>
      </c>
    </row>
    <row r="83" spans="1:6" ht="43.5">
      <c r="A83" s="213"/>
      <c r="B83" s="218" t="s">
        <v>555</v>
      </c>
      <c r="E83" s="217">
        <f>материалы!F8</f>
        <v>233.69000000000003</v>
      </c>
      <c r="F83" s="213" t="s">
        <v>136</v>
      </c>
    </row>
    <row r="84" spans="1:6" ht="16.5">
      <c r="A84" s="213"/>
      <c r="B84" s="213" t="s">
        <v>170</v>
      </c>
      <c r="E84" s="217">
        <f>материалы!F15</f>
        <v>397.43</v>
      </c>
      <c r="F84" s="213" t="s">
        <v>136</v>
      </c>
    </row>
    <row r="85" spans="1:6" ht="29.25">
      <c r="A85" s="213"/>
      <c r="B85" s="216" t="s">
        <v>556</v>
      </c>
      <c r="E85" s="213"/>
      <c r="F85" s="213"/>
    </row>
    <row r="86" spans="1:6" ht="16.5">
      <c r="A86" s="213"/>
      <c r="B86" s="213" t="s">
        <v>557</v>
      </c>
      <c r="E86" s="213">
        <v>62</v>
      </c>
      <c r="F86" s="213" t="s">
        <v>438</v>
      </c>
    </row>
    <row r="87" spans="1:6" ht="16.5">
      <c r="A87" s="214"/>
      <c r="B87" s="214" t="s">
        <v>558</v>
      </c>
      <c r="E87" s="214"/>
      <c r="F87" s="214"/>
    </row>
    <row r="88" spans="1:2" ht="16.5">
      <c r="A88"/>
      <c r="B88"/>
    </row>
    <row r="89" spans="1:6" ht="16.5">
      <c r="A89" s="215">
        <v>8</v>
      </c>
      <c r="B89" s="222" t="s">
        <v>559</v>
      </c>
      <c r="E89" s="213"/>
      <c r="F89" s="213"/>
    </row>
    <row r="90" spans="1:6" ht="29.25">
      <c r="A90" s="213"/>
      <c r="B90" s="223" t="s">
        <v>560</v>
      </c>
      <c r="E90" s="213">
        <v>6</v>
      </c>
      <c r="F90" s="213" t="s">
        <v>120</v>
      </c>
    </row>
    <row r="91" spans="1:6" ht="43.5">
      <c r="A91" s="213"/>
      <c r="B91" s="223" t="s">
        <v>561</v>
      </c>
      <c r="E91" s="217">
        <f>'Огражд.конструкции'!J10</f>
        <v>244.3976</v>
      </c>
      <c r="F91" s="213" t="s">
        <v>136</v>
      </c>
    </row>
    <row r="92" spans="1:6" ht="29.25">
      <c r="A92" s="213"/>
      <c r="B92" s="223" t="s">
        <v>562</v>
      </c>
      <c r="E92" s="217"/>
      <c r="F92" s="213"/>
    </row>
    <row r="93" spans="1:6" ht="43.5">
      <c r="A93" s="213"/>
      <c r="B93" s="223" t="s">
        <v>563</v>
      </c>
      <c r="E93" s="217">
        <f>'Огражд.конструкции'!J12</f>
        <v>58.34</v>
      </c>
      <c r="F93" s="213" t="s">
        <v>136</v>
      </c>
    </row>
    <row r="94" spans="1:6" ht="43.5">
      <c r="A94" s="213"/>
      <c r="B94" s="223" t="s">
        <v>564</v>
      </c>
      <c r="E94" s="217">
        <f>'Огражд.конструкции'!J14</f>
        <v>183.02</v>
      </c>
      <c r="F94" s="213" t="s">
        <v>136</v>
      </c>
    </row>
    <row r="95" spans="1:6" ht="16.5">
      <c r="A95" s="213"/>
      <c r="B95" s="223" t="s">
        <v>565</v>
      </c>
      <c r="E95" s="217">
        <f>E94+145</f>
        <v>328.02</v>
      </c>
      <c r="F95" s="213" t="s">
        <v>136</v>
      </c>
    </row>
    <row r="96" spans="1:6" ht="43.5">
      <c r="A96" s="213"/>
      <c r="B96" s="223" t="s">
        <v>566</v>
      </c>
      <c r="E96" s="217"/>
      <c r="F96" s="213"/>
    </row>
    <row r="97" spans="1:6" ht="29.25">
      <c r="A97" s="213"/>
      <c r="B97" s="223" t="s">
        <v>567</v>
      </c>
      <c r="E97" s="217">
        <f>E94+E93+88</f>
        <v>329.36</v>
      </c>
      <c r="F97" s="213" t="s">
        <v>136</v>
      </c>
    </row>
    <row r="98" spans="1:6" ht="16.5">
      <c r="A98" s="214"/>
      <c r="B98" s="224" t="s">
        <v>568</v>
      </c>
      <c r="E98" s="214"/>
      <c r="F98" s="214"/>
    </row>
    <row r="99" spans="1:6" ht="16.5">
      <c r="A99" s="12"/>
      <c r="B99" s="225"/>
      <c r="E99" s="12"/>
      <c r="F99" s="12"/>
    </row>
    <row r="100" spans="1:6" ht="16.5">
      <c r="A100" s="215">
        <v>9</v>
      </c>
      <c r="B100" s="215" t="s">
        <v>569</v>
      </c>
      <c r="E100" s="213"/>
      <c r="F100" s="213"/>
    </row>
    <row r="101" spans="1:6" ht="16.5">
      <c r="A101" s="213"/>
      <c r="B101" s="218" t="s">
        <v>570</v>
      </c>
      <c r="E101" s="213">
        <v>120</v>
      </c>
      <c r="F101" s="213" t="s">
        <v>438</v>
      </c>
    </row>
    <row r="102" spans="1:6" ht="29.25">
      <c r="A102" s="213"/>
      <c r="B102" s="218" t="s">
        <v>571</v>
      </c>
      <c r="E102" s="213">
        <v>1</v>
      </c>
      <c r="F102" s="213" t="s">
        <v>120</v>
      </c>
    </row>
    <row r="103" spans="1:6" ht="16.5">
      <c r="A103" s="213"/>
      <c r="B103" s="213" t="s">
        <v>572</v>
      </c>
      <c r="E103" s="213">
        <v>3</v>
      </c>
      <c r="F103" s="213" t="s">
        <v>120</v>
      </c>
    </row>
    <row r="104" spans="1:6" ht="16.5">
      <c r="A104" s="213"/>
      <c r="B104" s="213" t="s">
        <v>573</v>
      </c>
      <c r="E104" s="217">
        <v>5</v>
      </c>
      <c r="F104" s="213" t="s">
        <v>120</v>
      </c>
    </row>
    <row r="105" spans="1:6" ht="16.5">
      <c r="A105" s="213"/>
      <c r="B105" s="213" t="s">
        <v>574</v>
      </c>
      <c r="E105" s="213">
        <v>1</v>
      </c>
      <c r="F105" s="213" t="s">
        <v>120</v>
      </c>
    </row>
    <row r="106" spans="1:6" ht="16.5">
      <c r="A106" s="213"/>
      <c r="B106" s="213" t="s">
        <v>575</v>
      </c>
      <c r="E106" s="213">
        <v>1</v>
      </c>
      <c r="F106" s="213" t="s">
        <v>120</v>
      </c>
    </row>
    <row r="107" spans="1:6" ht="16.5">
      <c r="A107" s="213"/>
      <c r="B107" s="213" t="s">
        <v>576</v>
      </c>
      <c r="E107" s="213">
        <v>1</v>
      </c>
      <c r="F107" s="213" t="s">
        <v>120</v>
      </c>
    </row>
    <row r="108" spans="1:6" ht="16.5">
      <c r="A108" s="214"/>
      <c r="B108" s="214" t="s">
        <v>577</v>
      </c>
      <c r="E108" s="214"/>
      <c r="F108" s="214"/>
    </row>
    <row r="109" spans="1:2" ht="16.5">
      <c r="A109"/>
      <c r="B109"/>
    </row>
    <row r="110" spans="1:6" ht="16.5">
      <c r="A110" s="215">
        <v>10</v>
      </c>
      <c r="B110" s="215" t="s">
        <v>578</v>
      </c>
      <c r="E110" s="213"/>
      <c r="F110" s="213"/>
    </row>
    <row r="111" spans="1:6" ht="43.5">
      <c r="A111" s="213"/>
      <c r="B111" s="218" t="s">
        <v>579</v>
      </c>
      <c r="E111" s="213"/>
      <c r="F111" s="213"/>
    </row>
    <row r="112" spans="1:6" ht="16.5">
      <c r="A112" s="213"/>
      <c r="B112" s="218" t="s">
        <v>580</v>
      </c>
      <c r="E112" s="213"/>
      <c r="F112" s="213"/>
    </row>
    <row r="113" spans="1:6" ht="16.5">
      <c r="A113" s="213"/>
      <c r="B113" s="218" t="s">
        <v>581</v>
      </c>
      <c r="E113" s="213"/>
      <c r="F113" s="213"/>
    </row>
    <row r="114" spans="1:6" ht="29.25">
      <c r="A114" s="213"/>
      <c r="B114" s="218" t="s">
        <v>582</v>
      </c>
      <c r="E114" s="213">
        <v>142</v>
      </c>
      <c r="F114" s="213" t="s">
        <v>120</v>
      </c>
    </row>
    <row r="115" spans="1:6" ht="16.5">
      <c r="A115" s="213"/>
      <c r="B115" s="218" t="s">
        <v>583</v>
      </c>
      <c r="E115" s="213"/>
      <c r="F115" s="213"/>
    </row>
    <row r="116" spans="1:6" ht="16.5">
      <c r="A116" s="213"/>
      <c r="B116" s="218" t="s">
        <v>584</v>
      </c>
      <c r="E116" s="213"/>
      <c r="F116" s="213"/>
    </row>
    <row r="117" spans="1:6" ht="29.25">
      <c r="A117" s="213"/>
      <c r="B117" s="218" t="s">
        <v>585</v>
      </c>
      <c r="E117" s="213">
        <v>200</v>
      </c>
      <c r="F117" s="213" t="s">
        <v>438</v>
      </c>
    </row>
    <row r="118" spans="1:6" ht="16.5">
      <c r="A118" s="213"/>
      <c r="B118" s="218" t="s">
        <v>586</v>
      </c>
      <c r="E118" s="213">
        <v>62</v>
      </c>
      <c r="F118" s="213" t="s">
        <v>120</v>
      </c>
    </row>
    <row r="119" spans="1:6" ht="16.5">
      <c r="A119" s="214"/>
      <c r="B119" s="214" t="s">
        <v>587</v>
      </c>
      <c r="E119" s="214"/>
      <c r="F119" s="214"/>
    </row>
    <row r="120" spans="1:2" ht="16.5">
      <c r="A120"/>
      <c r="B120"/>
    </row>
    <row r="121" spans="1:6" ht="16.5">
      <c r="A121" s="215">
        <v>11</v>
      </c>
      <c r="B121" s="215" t="s">
        <v>588</v>
      </c>
      <c r="E121" s="213"/>
      <c r="F121" s="213"/>
    </row>
    <row r="122" spans="1:6" ht="29.25">
      <c r="A122" s="213"/>
      <c r="B122" s="226" t="s">
        <v>589</v>
      </c>
      <c r="E122" s="217">
        <f>Отделка!E40+Отделка!E43+Отделка!E44</f>
        <v>79.42999999999999</v>
      </c>
      <c r="F122" s="213" t="s">
        <v>136</v>
      </c>
    </row>
    <row r="123" spans="1:6" ht="29.25">
      <c r="A123" s="213"/>
      <c r="B123" s="226" t="s">
        <v>590</v>
      </c>
      <c r="E123" s="217">
        <f>Отделка!E39+Отделка!E41+Отделка!E42+Отделка!E45+Отделка!E46</f>
        <v>191.42000000000002</v>
      </c>
      <c r="F123" s="213" t="str">
        <f>F122</f>
        <v>м² </v>
      </c>
    </row>
    <row r="124" spans="1:6" ht="16.5">
      <c r="A124" s="213"/>
      <c r="B124" s="213" t="s">
        <v>591</v>
      </c>
      <c r="E124" s="213">
        <f>материалы!F11</f>
        <v>181.55</v>
      </c>
      <c r="F124" s="213" t="s">
        <v>136</v>
      </c>
    </row>
    <row r="125" spans="1:6" ht="16.5">
      <c r="A125" s="213"/>
      <c r="B125" s="213" t="s">
        <v>592</v>
      </c>
      <c r="E125" s="213">
        <f>материалы!F13</f>
        <v>39.35</v>
      </c>
      <c r="F125" s="213" t="str">
        <f>F124</f>
        <v>м² </v>
      </c>
    </row>
    <row r="126" spans="1:6" ht="29.25">
      <c r="A126" s="213"/>
      <c r="B126" s="226" t="s">
        <v>593</v>
      </c>
      <c r="E126" s="213">
        <f>Отделка!G40</f>
        <v>109.09799999999998</v>
      </c>
      <c r="F126" s="213" t="s">
        <v>136</v>
      </c>
    </row>
    <row r="127" spans="1:6" ht="29.25">
      <c r="A127" s="213"/>
      <c r="B127" s="226" t="s">
        <v>594</v>
      </c>
      <c r="E127" s="213">
        <f>Отделка!G41</f>
        <v>224.88000000000002</v>
      </c>
      <c r="F127" s="213" t="str">
        <f>F126</f>
        <v>м² </v>
      </c>
    </row>
    <row r="128" spans="1:6" ht="43.5">
      <c r="A128" s="213"/>
      <c r="B128" s="218" t="s">
        <v>595</v>
      </c>
      <c r="E128" s="213">
        <f>Отделка!G39</f>
        <v>508.41020000000003</v>
      </c>
      <c r="F128" s="213" t="s">
        <v>136</v>
      </c>
    </row>
    <row r="129" spans="1:6" ht="29.25">
      <c r="A129" s="213"/>
      <c r="B129" s="216" t="s">
        <v>596</v>
      </c>
      <c r="E129" s="213">
        <f>Отделка!C39</f>
        <v>291.33320000000003</v>
      </c>
      <c r="F129" s="213" t="s">
        <v>136</v>
      </c>
    </row>
    <row r="130" spans="1:6" ht="29.25">
      <c r="A130" s="213"/>
      <c r="B130" s="216" t="s">
        <v>597</v>
      </c>
      <c r="E130" s="213">
        <f>Отделка!C40</f>
        <v>23.55</v>
      </c>
      <c r="F130" s="213" t="str">
        <f>F129</f>
        <v>м² </v>
      </c>
    </row>
    <row r="131" spans="1:6" ht="16.5">
      <c r="A131" s="213"/>
      <c r="B131" s="213" t="s">
        <v>598</v>
      </c>
      <c r="E131" s="213">
        <f>E125</f>
        <v>39.35</v>
      </c>
      <c r="F131" s="213" t="s">
        <v>136</v>
      </c>
    </row>
    <row r="132" spans="1:6" ht="29.25">
      <c r="A132" s="213"/>
      <c r="B132" s="218" t="s">
        <v>599</v>
      </c>
      <c r="E132" s="213">
        <f>E128</f>
        <v>508.41020000000003</v>
      </c>
      <c r="F132" s="213" t="s">
        <v>136</v>
      </c>
    </row>
    <row r="133" spans="1:6" ht="16.5">
      <c r="A133" s="213"/>
      <c r="B133" s="213" t="s">
        <v>600</v>
      </c>
      <c r="E133" s="213">
        <f>E127+E129+E130</f>
        <v>539.7632</v>
      </c>
      <c r="F133" s="213" t="s">
        <v>136</v>
      </c>
    </row>
    <row r="134" spans="1:6" ht="16.5">
      <c r="A134" s="213"/>
      <c r="B134" s="213" t="s">
        <v>601</v>
      </c>
      <c r="E134" s="213">
        <f>Отделка!C42</f>
        <v>57.32</v>
      </c>
      <c r="F134" s="213" t="str">
        <f>F133</f>
        <v>м² </v>
      </c>
    </row>
    <row r="135" spans="1:6" ht="16.5">
      <c r="A135" s="213"/>
      <c r="B135" s="213" t="s">
        <v>602</v>
      </c>
      <c r="E135" s="213">
        <f>Отделка!G43</f>
        <v>33.760000000000005</v>
      </c>
      <c r="F135" s="213" t="s">
        <v>136</v>
      </c>
    </row>
    <row r="136" spans="1:6" ht="29.25">
      <c r="A136" s="213"/>
      <c r="B136" s="218" t="s">
        <v>603</v>
      </c>
      <c r="E136" s="213">
        <f>Отделка!G42+Отделка!C41+4</f>
        <v>22.91</v>
      </c>
      <c r="F136" s="213" t="str">
        <f>F135</f>
        <v>м² </v>
      </c>
    </row>
    <row r="137" spans="1:6" ht="29.25">
      <c r="A137" s="213"/>
      <c r="B137" s="218" t="s">
        <v>604</v>
      </c>
      <c r="E137" s="213">
        <f>Отделка!C41+Отделка!G42</f>
        <v>18.91</v>
      </c>
      <c r="F137" s="213" t="s">
        <v>136</v>
      </c>
    </row>
    <row r="138" spans="1:6" ht="16.5">
      <c r="A138" s="213"/>
      <c r="B138" s="226" t="s">
        <v>605</v>
      </c>
      <c r="E138" s="217">
        <f>Отделка!E40+Отделка!E42+Отделка!E43+Отделка!E44</f>
        <v>111.38</v>
      </c>
      <c r="F138" s="217" t="s">
        <v>15</v>
      </c>
    </row>
    <row r="139" spans="1:6" ht="29.25">
      <c r="A139" s="213"/>
      <c r="B139" s="226" t="s">
        <v>606</v>
      </c>
      <c r="E139" s="217">
        <f>Отделка!E39+Отделка!E46</f>
        <v>60.12</v>
      </c>
      <c r="F139" s="213" t="s">
        <v>136</v>
      </c>
    </row>
    <row r="140" spans="1:6" ht="16.5">
      <c r="A140" s="213"/>
      <c r="B140" s="218" t="s">
        <v>607</v>
      </c>
      <c r="E140" s="217">
        <f>Отделка!E41+Отделка!E45</f>
        <v>99.35</v>
      </c>
      <c r="F140" s="213" t="s">
        <v>136</v>
      </c>
    </row>
    <row r="141" spans="1:6" ht="16.5">
      <c r="A141" s="213"/>
      <c r="B141" s="218" t="s">
        <v>608</v>
      </c>
      <c r="E141" s="217">
        <f>Отделка!E47</f>
        <v>50.62</v>
      </c>
      <c r="F141" s="213" t="str">
        <f>F140</f>
        <v>м² </v>
      </c>
    </row>
    <row r="142" spans="1:6" ht="16.5">
      <c r="A142" s="213"/>
      <c r="B142" s="218" t="s">
        <v>609</v>
      </c>
      <c r="E142" s="213">
        <f>Отделка!K39+Отделка!K40+Отделка!K41</f>
        <v>236.95999999999998</v>
      </c>
      <c r="F142" s="213" t="s">
        <v>438</v>
      </c>
    </row>
    <row r="143" spans="1:6" ht="16.5">
      <c r="A143" s="214"/>
      <c r="B143" s="214" t="s">
        <v>610</v>
      </c>
      <c r="E143" s="214"/>
      <c r="F143" s="214"/>
    </row>
    <row r="144" spans="1:2" ht="16.5">
      <c r="A144"/>
      <c r="B144"/>
    </row>
    <row r="145" spans="1:6" ht="16.5">
      <c r="A145" s="215">
        <v>12</v>
      </c>
      <c r="B145" s="215" t="s">
        <v>427</v>
      </c>
      <c r="E145" s="213"/>
      <c r="F145" s="213"/>
    </row>
    <row r="146" spans="1:6" ht="29.25">
      <c r="A146" s="213"/>
      <c r="B146" s="218" t="s">
        <v>611</v>
      </c>
      <c r="E146" s="217">
        <f>материалы!J34</f>
        <v>65.3</v>
      </c>
      <c r="F146" s="213" t="s">
        <v>136</v>
      </c>
    </row>
    <row r="147" spans="1:6" ht="43.5">
      <c r="A147" s="213"/>
      <c r="B147" s="218" t="s">
        <v>612</v>
      </c>
      <c r="E147" s="217">
        <f>материалы!J36</f>
        <v>156.10659999999996</v>
      </c>
      <c r="F147" s="213" t="s">
        <v>136</v>
      </c>
    </row>
    <row r="148" spans="1:6" ht="29.25">
      <c r="A148" s="213"/>
      <c r="B148" s="218" t="s">
        <v>613</v>
      </c>
      <c r="E148" s="217">
        <f>материалы!J35</f>
        <v>22.099999999999998</v>
      </c>
      <c r="F148" s="213" t="str">
        <f>F149</f>
        <v>м² </v>
      </c>
    </row>
    <row r="149" spans="1:6" ht="16.5">
      <c r="A149" s="213"/>
      <c r="B149" s="218" t="s">
        <v>614</v>
      </c>
      <c r="E149" s="217">
        <v>67.4</v>
      </c>
      <c r="F149" s="213" t="str">
        <f>F147</f>
        <v>м² </v>
      </c>
    </row>
    <row r="150" spans="1:6" ht="29.25">
      <c r="A150" s="213"/>
      <c r="B150" s="218" t="s">
        <v>615</v>
      </c>
      <c r="E150" s="213">
        <f>материалы!J38</f>
        <v>115</v>
      </c>
      <c r="F150" s="213" t="s">
        <v>136</v>
      </c>
    </row>
    <row r="151" spans="1:6" ht="16.5">
      <c r="A151" s="214"/>
      <c r="B151" s="214" t="s">
        <v>616</v>
      </c>
      <c r="E151" s="214"/>
      <c r="F151" s="214"/>
    </row>
    <row r="152" spans="1:2" ht="16.5">
      <c r="A152"/>
      <c r="B152"/>
    </row>
    <row r="153" spans="1:6" ht="16.5">
      <c r="A153" s="215">
        <v>13</v>
      </c>
      <c r="B153" s="215" t="s">
        <v>617</v>
      </c>
      <c r="E153" s="213"/>
      <c r="F153" s="213"/>
    </row>
    <row r="154" spans="1:6" ht="43.5">
      <c r="A154" s="213"/>
      <c r="B154" s="216" t="s">
        <v>618</v>
      </c>
      <c r="E154" s="213">
        <v>40</v>
      </c>
      <c r="F154" s="213" t="s">
        <v>34</v>
      </c>
    </row>
    <row r="155" spans="1:6" ht="57.75">
      <c r="A155" s="213"/>
      <c r="B155" s="216" t="s">
        <v>619</v>
      </c>
      <c r="E155" s="213"/>
      <c r="F155" s="213"/>
    </row>
    <row r="156" spans="1:6" ht="16.5">
      <c r="A156" s="213"/>
      <c r="B156" s="213" t="s">
        <v>620</v>
      </c>
      <c r="E156" s="213"/>
      <c r="F156" s="213"/>
    </row>
    <row r="157" spans="1:6" ht="16.5">
      <c r="A157" s="213"/>
      <c r="B157" s="213" t="s">
        <v>621</v>
      </c>
      <c r="E157" s="213"/>
      <c r="F157" s="213"/>
    </row>
    <row r="158" spans="1:6" ht="16.5">
      <c r="A158" s="213"/>
      <c r="B158" s="213" t="s">
        <v>622</v>
      </c>
      <c r="E158" s="213"/>
      <c r="F158" s="213"/>
    </row>
    <row r="159" spans="1:6" ht="16.5">
      <c r="A159" s="213"/>
      <c r="B159" s="213" t="s">
        <v>623</v>
      </c>
      <c r="E159" s="213"/>
      <c r="F159" s="213"/>
    </row>
    <row r="160" spans="1:6" ht="16.5">
      <c r="A160" s="213"/>
      <c r="B160" s="213" t="s">
        <v>624</v>
      </c>
      <c r="E160" s="213"/>
      <c r="F160" s="213"/>
    </row>
    <row r="161" spans="1:6" ht="16.5">
      <c r="A161" s="213"/>
      <c r="B161" s="213" t="s">
        <v>625</v>
      </c>
      <c r="E161" s="213"/>
      <c r="F161" s="213"/>
    </row>
    <row r="162" spans="1:6" ht="16.5">
      <c r="A162" s="213"/>
      <c r="B162" s="213" t="s">
        <v>626</v>
      </c>
      <c r="E162" s="213"/>
      <c r="F162" s="213"/>
    </row>
    <row r="163" spans="1:6" ht="16.5">
      <c r="A163" s="213"/>
      <c r="B163" s="213" t="s">
        <v>627</v>
      </c>
      <c r="E163" s="213"/>
      <c r="F163" s="213"/>
    </row>
    <row r="164" spans="1:6" ht="16.5">
      <c r="A164" s="213"/>
      <c r="B164" s="214" t="s">
        <v>628</v>
      </c>
      <c r="E164" s="214"/>
      <c r="F164" s="214"/>
    </row>
    <row r="165" spans="1:6" ht="16.5">
      <c r="A165"/>
      <c r="B165" s="12"/>
      <c r="E165" s="12"/>
      <c r="F165" s="12"/>
    </row>
    <row r="166" spans="1:6" ht="16.5">
      <c r="A166" s="215">
        <v>14</v>
      </c>
      <c r="B166" s="215" t="s">
        <v>629</v>
      </c>
      <c r="E166" s="213"/>
      <c r="F166" s="213"/>
    </row>
    <row r="167" spans="1:6" ht="16.5">
      <c r="A167" s="213"/>
      <c r="B167" s="216" t="s">
        <v>630</v>
      </c>
      <c r="E167" s="213">
        <v>0</v>
      </c>
      <c r="F167" s="213"/>
    </row>
    <row r="168" spans="1:6" ht="16.5">
      <c r="A168" s="213"/>
      <c r="B168" s="216" t="s">
        <v>631</v>
      </c>
      <c r="E168" s="213"/>
      <c r="F168" s="213"/>
    </row>
    <row r="169" spans="1:6" ht="16.5">
      <c r="A169" s="213"/>
      <c r="B169" s="216" t="s">
        <v>632</v>
      </c>
      <c r="E169" s="213">
        <v>0</v>
      </c>
      <c r="F169" s="213"/>
    </row>
    <row r="170" spans="1:6" ht="16.5">
      <c r="A170" s="213"/>
      <c r="B170" s="216" t="s">
        <v>633</v>
      </c>
      <c r="E170" s="213"/>
      <c r="F170" s="213"/>
    </row>
    <row r="171" spans="1:6" ht="16.5">
      <c r="A171" s="213"/>
      <c r="B171" s="216" t="s">
        <v>634</v>
      </c>
      <c r="E171" s="213"/>
      <c r="F171" s="213"/>
    </row>
    <row r="172" spans="1:6" ht="16.5">
      <c r="A172" s="213"/>
      <c r="B172" s="214" t="s">
        <v>628</v>
      </c>
      <c r="E172" s="214"/>
      <c r="F172" s="214"/>
    </row>
    <row r="173" spans="1:2" ht="16.5">
      <c r="A173"/>
      <c r="B173"/>
    </row>
    <row r="174" spans="1:6" ht="16.5">
      <c r="A174" s="215">
        <v>15</v>
      </c>
      <c r="B174" s="215" t="s">
        <v>635</v>
      </c>
      <c r="E174" s="213"/>
      <c r="F174" s="213"/>
    </row>
    <row r="175" spans="1:6" ht="16.5">
      <c r="A175" s="213"/>
      <c r="B175" s="216" t="s">
        <v>636</v>
      </c>
      <c r="E175" s="213"/>
      <c r="F175" s="213"/>
    </row>
    <row r="176" spans="1:6" ht="16.5">
      <c r="A176" s="213"/>
      <c r="B176" s="216" t="s">
        <v>637</v>
      </c>
      <c r="E176" s="213"/>
      <c r="F176" s="213"/>
    </row>
    <row r="177" spans="1:6" ht="16.5">
      <c r="A177" s="213"/>
      <c r="B177" s="216" t="s">
        <v>638</v>
      </c>
      <c r="E177" s="213"/>
      <c r="F177" s="213"/>
    </row>
    <row r="178" spans="1:6" ht="16.5">
      <c r="A178" s="213"/>
      <c r="B178" s="213"/>
      <c r="E178" s="213"/>
      <c r="F178" s="213"/>
    </row>
    <row r="179" spans="1:7" ht="16.5">
      <c r="A179" s="12"/>
      <c r="B179" s="227" t="s">
        <v>639</v>
      </c>
      <c r="E179" s="227"/>
      <c r="F179" s="228"/>
      <c r="G179" s="228"/>
    </row>
    <row r="180" spans="1:2" ht="16.5">
      <c r="A180"/>
      <c r="B180"/>
    </row>
    <row r="181" spans="2:6" ht="16.5">
      <c r="B181" s="229" t="s">
        <v>640</v>
      </c>
      <c r="C181" s="229"/>
      <c r="D181" s="229"/>
      <c r="E181" s="229"/>
      <c r="F181" s="229"/>
    </row>
  </sheetData>
  <mergeCells count="2">
    <mergeCell ref="F179:G179"/>
    <mergeCell ref="B181:F181"/>
  </mergeCells>
  <printOptions/>
  <pageMargins left="0.8659722222222223" right="0.5513888888888889" top="0.39375" bottom="0.5326388888888889" header="0.5118055555555555" footer="0.39375"/>
  <pageSetup horizontalDpi="300" verticalDpi="300" orientation="portrait" paperSize="9"/>
  <headerFooter alignWithMargins="0">
    <oddFooter>&amp;C&amp;"Arial,Обычный"&amp;10Страница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Эрнст</dc:creator>
  <cp:keywords/>
  <dc:description/>
  <cp:lastModifiedBy/>
  <cp:lastPrinted>2010-12-02T17:33:35Z</cp:lastPrinted>
  <dcterms:created xsi:type="dcterms:W3CDTF">2007-02-25T00:49:50Z</dcterms:created>
  <dcterms:modified xsi:type="dcterms:W3CDTF">2012-04-08T08:25:14Z</dcterms:modified>
  <cp:category/>
  <cp:version/>
  <cp:contentType/>
  <cp:contentStatus/>
  <cp:revision>470</cp:revision>
</cp:coreProperties>
</file>